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585" windowHeight="6750" tabRatio="788" activeTab="1"/>
  </bookViews>
  <sheets>
    <sheet name="Page 1" sheetId="16" r:id="rId1"/>
    <sheet name="Accueil" sheetId="12" r:id="rId2"/>
    <sheet name="Critères" sheetId="13" r:id="rId3"/>
    <sheet name="1-Filières" sheetId="15" r:id="rId4"/>
    <sheet name="2-Légalité" sheetId="3" r:id="rId5"/>
    <sheet name="3-Phyto" sheetId="23" r:id="rId6"/>
    <sheet name="4-Biodiversité" sheetId="8" r:id="rId7"/>
    <sheet name="5-GES" sheetId="9" r:id="rId8"/>
    <sheet name="6-Usages" sheetId="14" r:id="rId9"/>
    <sheet name="7-Droits" sheetId="11" r:id="rId10"/>
    <sheet name="Résultats" sheetId="1" r:id="rId11"/>
    <sheet name="Outil Transport" sheetId="22" r:id="rId12"/>
    <sheet name="Outil modèle transport" sheetId="18" r:id="rId13"/>
    <sheet name="Outil Déforestation" sheetId="6" r:id="rId14"/>
    <sheet name="Outil PCI moyen" sheetId="17" r:id="rId15"/>
    <sheet name="Listes" sheetId="4" state="hidden" r:id="rId16"/>
    <sheet name="Commentaires" sheetId="7" state="hidden" r:id="rId17"/>
  </sheets>
  <definedNames>
    <definedName name="_xlnm._FilterDatabase" localSheetId="16" hidden="1">Commentaires!$B$1:$I$19</definedName>
    <definedName name="_xlnm._FilterDatabase" localSheetId="15" hidden="1">Listes!$L$2:$P$236</definedName>
    <definedName name="Liste_oui_non_NSP">Listes!$B$3:$B$5</definedName>
    <definedName name="Niveau_risques">Listes!$B$16:$B$19</definedName>
    <definedName name="PAYS">Listes!$L$3:$L$236</definedName>
    <definedName name="Pays_zone" localSheetId="3">Listes!#REF!</definedName>
    <definedName name="Pays_zone" localSheetId="5">Listes!#REF!</definedName>
    <definedName name="Pays_zone" localSheetId="6">Listes!#REF!</definedName>
    <definedName name="Pays_zone" localSheetId="7">Listes!#REF!</definedName>
    <definedName name="Pays_zone" localSheetId="8">Listes!#REF!</definedName>
    <definedName name="Pays_zone" localSheetId="9">Listes!#REF!</definedName>
    <definedName name="Pays_zone" localSheetId="2">Listes!#REF!</definedName>
    <definedName name="Pays_zone" localSheetId="11">Listes!#REF!</definedName>
    <definedName name="Pays_zone">Listes!#REF!</definedName>
    <definedName name="QSDG" localSheetId="5">Listes!#REF!</definedName>
    <definedName name="QSDG" localSheetId="11">Listes!#REF!</definedName>
    <definedName name="QSDG">Listes!#REF!</definedName>
    <definedName name="Systeme_verification">Listes!$B$8:$B$12</definedName>
    <definedName name="Systeme_vérification">Listes!$B$8:$B$12</definedName>
    <definedName name="Système_vérification">Listes!$B$8:$B$11</definedName>
    <definedName name="Titre" localSheetId="0">'Page 1'!$B$9</definedName>
    <definedName name="_xlnm.Print_Area" localSheetId="3">'1-Filières'!$A$1:$C$30</definedName>
    <definedName name="_xlnm.Print_Area" localSheetId="4">'2-Légalité'!$A$2:$C$83</definedName>
    <definedName name="_xlnm.Print_Area" localSheetId="5">'3-Phyto'!$A$1:$C$37</definedName>
    <definedName name="_xlnm.Print_Area" localSheetId="6">'4-Biodiversité'!$A$2:$C$58</definedName>
    <definedName name="_xlnm.Print_Area" localSheetId="7">'5-GES'!$A$2:$C$35</definedName>
    <definedName name="_xlnm.Print_Area" localSheetId="8">'6-Usages'!$A$1:$C$42</definedName>
    <definedName name="_xlnm.Print_Area" localSheetId="9">'7-Droits'!$A$1:$C$34</definedName>
    <definedName name="_xlnm.Print_Area" localSheetId="1">Accueil!$A$1:$D$32</definedName>
    <definedName name="_xlnm.Print_Area" localSheetId="16">Commentaires!$A$1</definedName>
    <definedName name="_xlnm.Print_Area" localSheetId="2">Critères!$B$1:$C$87</definedName>
    <definedName name="_xlnm.Print_Area" localSheetId="15">Listes!$A$1</definedName>
    <definedName name="_xlnm.Print_Area" localSheetId="13">'Outil Déforestation'!$L$1</definedName>
    <definedName name="_xlnm.Print_Area" localSheetId="14">'Outil PCI moyen'!$B$4:$F$21</definedName>
    <definedName name="_xlnm.Print_Area" localSheetId="11">'Outil Transport'!$A$1:$G$42</definedName>
    <definedName name="_xlnm.Print_Area" localSheetId="0">'Page 1'!$A$1:$C$47</definedName>
    <definedName name="_xlnm.Print_Area" localSheetId="10">Résultats!$A$2:$F$59</definedName>
  </definedNames>
  <calcPr calcId="145621"/>
</workbook>
</file>

<file path=xl/calcChain.xml><?xml version="1.0" encoding="utf-8"?>
<calcChain xmlns="http://schemas.openxmlformats.org/spreadsheetml/2006/main">
  <c r="C38" i="13" l="1"/>
  <c r="C37" i="13"/>
  <c r="C36" i="13"/>
  <c r="C34" i="13"/>
  <c r="C33" i="13"/>
  <c r="C32" i="13"/>
  <c r="C30" i="13"/>
  <c r="B30" i="13"/>
  <c r="C55" i="13"/>
  <c r="C54" i="13"/>
  <c r="C53" i="13"/>
  <c r="C24" i="1"/>
  <c r="C23" i="1"/>
  <c r="C22" i="1"/>
  <c r="B22" i="1"/>
  <c r="H23" i="1"/>
  <c r="C33" i="1"/>
  <c r="C5" i="9"/>
  <c r="F18" i="23"/>
  <c r="F15" i="23"/>
  <c r="F10" i="23"/>
  <c r="F7" i="23"/>
  <c r="C21" i="23"/>
  <c r="F13" i="23" l="1"/>
  <c r="F5" i="23"/>
  <c r="C5" i="23" s="1"/>
  <c r="D23" i="1" s="1"/>
  <c r="B48" i="16"/>
  <c r="C18" i="18"/>
  <c r="C13" i="23" l="1"/>
  <c r="D24" i="1" s="1"/>
  <c r="C1" i="23"/>
  <c r="F22" i="1" s="1"/>
  <c r="C16" i="9"/>
  <c r="E3" i="9" s="1"/>
  <c r="F61" i="3"/>
  <c r="B47" i="16"/>
  <c r="B46" i="16"/>
  <c r="C69" i="13"/>
  <c r="C68" i="13"/>
  <c r="C67" i="13"/>
  <c r="C7" i="13"/>
  <c r="C6" i="13"/>
  <c r="C63" i="13"/>
  <c r="C62" i="13"/>
  <c r="C61" i="13"/>
  <c r="C60" i="13"/>
  <c r="C49" i="13"/>
  <c r="C47" i="13"/>
  <c r="C48" i="13"/>
  <c r="C46" i="13"/>
  <c r="C44" i="13"/>
  <c r="C43" i="13"/>
  <c r="C42" i="13"/>
  <c r="C28" i="13"/>
  <c r="C27" i="13"/>
  <c r="C26" i="13"/>
  <c r="C25" i="13"/>
  <c r="C23" i="13"/>
  <c r="C22" i="13"/>
  <c r="C21" i="13"/>
  <c r="C20" i="13"/>
  <c r="C19" i="13"/>
  <c r="C18" i="13"/>
  <c r="C17" i="13"/>
  <c r="C16" i="13"/>
  <c r="C11" i="13"/>
  <c r="C14" i="13"/>
  <c r="C13" i="13"/>
  <c r="C12" i="13"/>
  <c r="F62" i="3" l="1"/>
  <c r="F58" i="3" s="1"/>
  <c r="F55" i="3"/>
  <c r="F11" i="14"/>
  <c r="F52" i="3" l="1"/>
  <c r="C37" i="1"/>
  <c r="C5" i="11"/>
  <c r="C18" i="11"/>
  <c r="C3" i="15"/>
  <c r="C14" i="15"/>
  <c r="K5" i="22"/>
  <c r="F11" i="22" s="1"/>
  <c r="C26" i="22"/>
  <c r="G15" i="22"/>
  <c r="F15" i="22"/>
  <c r="E15" i="22"/>
  <c r="D15" i="22"/>
  <c r="C15" i="22"/>
  <c r="B14" i="22"/>
  <c r="G8" i="22"/>
  <c r="G20" i="22" s="1"/>
  <c r="F8" i="22"/>
  <c r="F20" i="22" s="1"/>
  <c r="E8" i="22"/>
  <c r="E20" i="22" s="1"/>
  <c r="C8" i="22"/>
  <c r="D8" i="22"/>
  <c r="A2" i="12"/>
  <c r="F18" i="22" l="1"/>
  <c r="F19" i="22" s="1"/>
  <c r="E11" i="22"/>
  <c r="E18" i="22" s="1"/>
  <c r="E19" i="22" s="1"/>
  <c r="C11" i="22"/>
  <c r="C18" i="22" s="1"/>
  <c r="G11" i="22"/>
  <c r="G18" i="22" s="1"/>
  <c r="G19" i="22" s="1"/>
  <c r="D11" i="22"/>
  <c r="D18" i="22" s="1"/>
  <c r="D19" i="22" s="1"/>
  <c r="D20" i="22" s="1"/>
  <c r="C23" i="22" l="1"/>
  <c r="B2" i="22" s="1"/>
  <c r="C19" i="22"/>
  <c r="C22" i="22" s="1"/>
  <c r="C20" i="22"/>
  <c r="I6" i="17"/>
  <c r="E64" i="7"/>
  <c r="E65" i="7"/>
  <c r="F5" i="15"/>
  <c r="F8" i="15" s="1"/>
  <c r="C1" i="15" s="1"/>
  <c r="F12" i="1" s="1"/>
  <c r="C6" i="14"/>
  <c r="F13" i="8"/>
  <c r="F10" i="8"/>
  <c r="F25" i="8"/>
  <c r="F29" i="8"/>
  <c r="F33" i="8"/>
  <c r="F14" i="3"/>
  <c r="E2" i="7"/>
  <c r="E3" i="7"/>
  <c r="E4" i="7"/>
  <c r="E5" i="7"/>
  <c r="F28" i="3"/>
  <c r="F32" i="3"/>
  <c r="F36" i="3"/>
  <c r="F48" i="3"/>
  <c r="F39" i="3"/>
  <c r="F42" i="3"/>
  <c r="F45" i="3"/>
  <c r="E7" i="9"/>
  <c r="F7" i="11"/>
  <c r="F14" i="14"/>
  <c r="C26" i="14"/>
  <c r="C41" i="8"/>
  <c r="C66" i="3"/>
  <c r="I7" i="17"/>
  <c r="I8" i="17"/>
  <c r="I9" i="17"/>
  <c r="I10" i="17"/>
  <c r="I11" i="17"/>
  <c r="I12" i="17"/>
  <c r="I13" i="17"/>
  <c r="I14" i="17"/>
  <c r="I15" i="17"/>
  <c r="I16" i="17"/>
  <c r="I17" i="17"/>
  <c r="I18" i="17"/>
  <c r="I19" i="17"/>
  <c r="I20" i="17"/>
  <c r="I21" i="17"/>
  <c r="B16" i="3"/>
  <c r="E24" i="7"/>
  <c r="E25" i="7"/>
  <c r="E26" i="7"/>
  <c r="E27" i="7"/>
  <c r="E28" i="7"/>
  <c r="E29" i="7"/>
  <c r="E30" i="7"/>
  <c r="E31" i="7"/>
  <c r="E32" i="7"/>
  <c r="E33" i="7"/>
  <c r="E34" i="7"/>
  <c r="E35" i="7"/>
  <c r="E36" i="7"/>
  <c r="E37" i="7"/>
  <c r="E38" i="7"/>
  <c r="E39" i="7"/>
  <c r="E40" i="7"/>
  <c r="E41" i="7"/>
  <c r="E42" i="7"/>
  <c r="E43" i="7"/>
  <c r="E44" i="7"/>
  <c r="E45" i="7"/>
  <c r="E46" i="7"/>
  <c r="E47" i="7"/>
  <c r="E48" i="7"/>
  <c r="F13" i="11"/>
  <c r="F10" i="11"/>
  <c r="H32" i="1"/>
  <c r="D9" i="1"/>
  <c r="D8" i="1"/>
  <c r="D5" i="1"/>
  <c r="C9" i="1"/>
  <c r="C8" i="1"/>
  <c r="C7" i="1"/>
  <c r="C6" i="1"/>
  <c r="C5" i="1"/>
  <c r="D7" i="1"/>
  <c r="D6" i="1"/>
  <c r="E49" i="7"/>
  <c r="E50" i="7"/>
  <c r="C15" i="3"/>
  <c r="C9" i="13"/>
  <c r="C4" i="13"/>
  <c r="B4" i="13"/>
  <c r="C12" i="1"/>
  <c r="B12" i="1"/>
  <c r="B57" i="13"/>
  <c r="C57" i="13"/>
  <c r="C36" i="1"/>
  <c r="B36" i="1"/>
  <c r="B6" i="14"/>
  <c r="C59" i="13" s="1"/>
  <c r="E19" i="7"/>
  <c r="E17" i="7"/>
  <c r="E10" i="7"/>
  <c r="E16" i="7"/>
  <c r="E6" i="7"/>
  <c r="E9" i="7"/>
  <c r="E13" i="7"/>
  <c r="E7" i="7"/>
  <c r="E11" i="7"/>
  <c r="E14" i="7"/>
  <c r="E8" i="7"/>
  <c r="E12" i="7"/>
  <c r="E15" i="7"/>
  <c r="E18" i="7"/>
  <c r="E71" i="7"/>
  <c r="E72" i="7"/>
  <c r="E66" i="7"/>
  <c r="E67" i="7"/>
  <c r="E68" i="7"/>
  <c r="E69" i="7"/>
  <c r="E70" i="7"/>
  <c r="B16" i="8"/>
  <c r="B17" i="3"/>
  <c r="B40" i="1"/>
  <c r="B65" i="13"/>
  <c r="B9" i="13"/>
  <c r="C65" i="13"/>
  <c r="C51" i="13"/>
  <c r="B51" i="13"/>
  <c r="C40" i="13"/>
  <c r="B40" i="13"/>
  <c r="C40" i="1"/>
  <c r="C32" i="1"/>
  <c r="B32" i="1"/>
  <c r="C29" i="1"/>
  <c r="C28" i="1"/>
  <c r="C27" i="1"/>
  <c r="B27" i="1"/>
  <c r="C19" i="1"/>
  <c r="C18" i="1"/>
  <c r="C17" i="1"/>
  <c r="C16" i="1"/>
  <c r="B16" i="1"/>
  <c r="B15" i="8"/>
  <c r="E16" i="9" l="1"/>
  <c r="F3" i="9" s="1"/>
  <c r="C2" i="9" s="1"/>
  <c r="B11" i="15"/>
  <c r="C13" i="1" s="1"/>
  <c r="C1" i="11"/>
  <c r="H41" i="1" s="1"/>
  <c r="B16" i="11"/>
  <c r="C41" i="1" s="1"/>
  <c r="C1" i="22"/>
  <c r="C24" i="22"/>
  <c r="C12" i="3"/>
  <c r="C9" i="3"/>
  <c r="F8" i="3" s="1"/>
  <c r="C11" i="8"/>
  <c r="B22" i="14"/>
  <c r="E1" i="17"/>
  <c r="B21" i="8"/>
  <c r="B20" i="8"/>
  <c r="C23" i="8" s="1"/>
  <c r="B28" i="8" s="1"/>
  <c r="C8" i="8"/>
  <c r="D28" i="1" s="1"/>
  <c r="H13" i="1"/>
  <c r="F16" i="9" l="1"/>
  <c r="C3" i="9" s="1"/>
  <c r="D33" i="1" s="1"/>
  <c r="F40" i="1"/>
  <c r="D37" i="1"/>
  <c r="F4" i="14"/>
  <c r="C1" i="14" s="1"/>
  <c r="F36" i="1" s="1"/>
  <c r="F11" i="3"/>
  <c r="C6" i="3" s="1"/>
  <c r="D17" i="1" s="1"/>
  <c r="F21" i="3"/>
  <c r="C52" i="3" s="1"/>
  <c r="B21" i="3"/>
  <c r="B22" i="3"/>
  <c r="D29" i="1"/>
  <c r="F23" i="8"/>
  <c r="C2" i="8"/>
  <c r="D19" i="1" l="1"/>
  <c r="C25" i="3"/>
  <c r="H33" i="1"/>
  <c r="F32" i="1"/>
  <c r="H28" i="1"/>
  <c r="F27" i="1"/>
  <c r="B35" i="3" l="1"/>
  <c r="B54" i="3"/>
  <c r="C2" i="3"/>
  <c r="F16" i="1" s="1"/>
  <c r="D18" i="1"/>
  <c r="F25" i="3"/>
  <c r="H17" i="1" l="1"/>
</calcChain>
</file>

<file path=xl/comments1.xml><?xml version="1.0" encoding="utf-8"?>
<comments xmlns="http://schemas.openxmlformats.org/spreadsheetml/2006/main">
  <authors>
    <author>Olivia MEIFFREN</author>
  </authors>
  <commentList>
    <comment ref="C10" authorId="0">
      <text>
        <r>
          <rPr>
            <sz val="9"/>
            <color indexed="81"/>
            <rFont val="Tahoma"/>
            <family val="2"/>
          </rPr>
          <t>Si la liste déroulante ne s'affiche pas, veuillez vous référer aux listes ci-contre</t>
        </r>
      </text>
    </comment>
    <comment ref="C14" authorId="0">
      <text>
        <r>
          <rPr>
            <sz val="9"/>
            <color indexed="81"/>
            <rFont val="Tahoma"/>
            <family val="2"/>
          </rPr>
          <t xml:space="preserve">Si la liste déroulante ne s'affiche pas, veuillez vous référer aux listes ci-contre
</t>
        </r>
      </text>
    </comment>
  </commentList>
</comments>
</file>

<file path=xl/sharedStrings.xml><?xml version="1.0" encoding="utf-8"?>
<sst xmlns="http://schemas.openxmlformats.org/spreadsheetml/2006/main" count="1834" uniqueCount="562">
  <si>
    <t>L’origine géographique de la ressource est-elle connue pour des conflits d’usage impactant la sécurité alimentaire ?</t>
  </si>
  <si>
    <t>Exemple : bois issus de déforestations pour la production d’huile à usage autre qu’alimentaire.</t>
  </si>
  <si>
    <t>Aucun risque que le bois provienne de zones où les droits du travail, les droits des communautés locales ou des populations autochtones ne soient pas respectés n'ont été identifiés.</t>
  </si>
  <si>
    <t>Des risques que le bois provienne de zones où les droits du travail, les droits des communautés locales ou des populations autochtones ne soient pas respectés ont été identifiés ou n'ont pas été vérifiés.</t>
  </si>
  <si>
    <t>Critère 1 :</t>
  </si>
  <si>
    <t>Les produits sont-ils couverts par un système de certification crédible et couvrant les exigences légales ? Ou par une vérification tierce partie ?</t>
  </si>
  <si>
    <t>www.illegal-logging.org</t>
  </si>
  <si>
    <t>Des compagnies sont-elles liées à de activités illégales ?</t>
  </si>
  <si>
    <t>Y-a-t-il un lien avec des flux de bois illégaux ?</t>
  </si>
  <si>
    <t>Veille sur les flux de bois illégaux (pays de récolte, essences)</t>
  </si>
  <si>
    <t>La chaine d'approvisionnement permet-elle d'identifier l'origine de l'exploitation forestière du bois (pays) ?</t>
  </si>
  <si>
    <t>Le lieu de récolte (l'unité de gestion forestière) est-il connu et des preuves suffisantes de conformité aux exigences légales sont-elles disponibles ?</t>
  </si>
  <si>
    <t>Pays</t>
  </si>
  <si>
    <t>Reconstruction de la chaîne d'approvisionnement / Documentation fournisseur</t>
  </si>
  <si>
    <t>Tous les documents sont-ils mis à disposition par le fournisseur pour identifier les intervenants dans la chaîne d'approvisionnement ?</t>
  </si>
  <si>
    <t>Examen des documents relatifs à la légalité</t>
  </si>
  <si>
    <t>Quel est l'indice de perception de corruption (CPI) du pays ?</t>
  </si>
  <si>
    <t>Critère 2 :</t>
  </si>
  <si>
    <t>Critère 3 :</t>
  </si>
  <si>
    <t>Le bois apporte des garanties concernant son potentiel de réduction des GES</t>
  </si>
  <si>
    <t>Critère 4 :</t>
  </si>
  <si>
    <t>Critère 5 :</t>
  </si>
  <si>
    <t>Les filières d’approvisionnement régionales et nationales ont-elles été étudiées ?</t>
  </si>
  <si>
    <t>Critère 6 :</t>
  </si>
  <si>
    <t>Y-a-t-il des preuves de violation de la Convention 169 de l'OIT sur les peuples indigènes et tribaux dans les zones forestières du pays concerné ?</t>
  </si>
  <si>
    <t>Y-a-t-il des preuves du travail des enfants ou de la violation des Principes Fondamentaux et des droits au travail de l'OIT dans les zones forestières du pays concerné ?</t>
  </si>
  <si>
    <t>Le bois est d'origine légale (lieu de récolte)</t>
  </si>
  <si>
    <t>Oui</t>
  </si>
  <si>
    <t>Non</t>
  </si>
  <si>
    <t>Sainte-Lucie</t>
  </si>
  <si>
    <t>Saint-Marin</t>
  </si>
  <si>
    <t>Vanuatu</t>
  </si>
  <si>
    <t>Afghanistan</t>
  </si>
  <si>
    <t>Afrique du Sud</t>
  </si>
  <si>
    <t>Albanie</t>
  </si>
  <si>
    <t>Algérie</t>
  </si>
  <si>
    <t>Allemagne</t>
  </si>
  <si>
    <t>Andorre</t>
  </si>
  <si>
    <t>Angola</t>
  </si>
  <si>
    <t>Antigua-et-Barbuda</t>
  </si>
  <si>
    <t>Arabie saoudite</t>
  </si>
  <si>
    <t>Argentine</t>
  </si>
  <si>
    <t>Arménie</t>
  </si>
  <si>
    <t>Australie</t>
  </si>
  <si>
    <t>Autriche</t>
  </si>
  <si>
    <t>-</t>
  </si>
  <si>
    <t>Botswana</t>
  </si>
  <si>
    <t>n.s.</t>
  </si>
  <si>
    <t>Kenya</t>
  </si>
  <si>
    <t>Lesotho</t>
  </si>
  <si>
    <t>Madagascar</t>
  </si>
  <si>
    <t>Malawi</t>
  </si>
  <si>
    <t>Mayotte</t>
  </si>
  <si>
    <t>Mozambique</t>
  </si>
  <si>
    <t>Réunion</t>
  </si>
  <si>
    <t>Seychelles</t>
  </si>
  <si>
    <t>Swaziland</t>
  </si>
  <si>
    <t>Zimbabwe</t>
  </si>
  <si>
    <t>Burkina Faso</t>
  </si>
  <si>
    <t>Djibouti</t>
  </si>
  <si>
    <t>Mali</t>
  </si>
  <si>
    <t>Niger</t>
  </si>
  <si>
    <t>Burundi</t>
  </si>
  <si>
    <t>Congo</t>
  </si>
  <si>
    <t>Gabon</t>
  </si>
  <si>
    <t>Ghana</t>
  </si>
  <si>
    <t>Rwanda</t>
  </si>
  <si>
    <t>Sierra Leone</t>
  </si>
  <si>
    <t>Togo</t>
  </si>
  <si>
    <t>Bangladesh</t>
  </si>
  <si>
    <t>Maldives</t>
  </si>
  <si>
    <t>Myanmar</t>
  </si>
  <si>
    <t>Pakistan</t>
  </si>
  <si>
    <t>Philippines</t>
  </si>
  <si>
    <t>Sri Lanka</t>
  </si>
  <si>
    <t>Timor-Leste</t>
  </si>
  <si>
    <t>Viet Nam</t>
  </si>
  <si>
    <t>Iraq</t>
  </si>
  <si>
    <t>Kazakhstan</t>
  </si>
  <si>
    <t>Oman</t>
  </si>
  <si>
    <t>Qatar</t>
  </si>
  <si>
    <t>France</t>
  </si>
  <si>
    <t>Gibraltar</t>
  </si>
  <si>
    <t>Liechtenstein</t>
  </si>
  <si>
    <t>Luxembourg</t>
  </si>
  <si>
    <t>Monaco</t>
  </si>
  <si>
    <t>Portugal</t>
  </si>
  <si>
    <t>Ukraine</t>
  </si>
  <si>
    <t>Europe</t>
  </si>
  <si>
    <t>Anguilla</t>
  </si>
  <si>
    <t>Aruba</t>
  </si>
  <si>
    <t>Bahamas</t>
  </si>
  <si>
    <t>Cuba</t>
  </si>
  <si>
    <t>Guadeloupe</t>
  </si>
  <si>
    <t>Martinique</t>
  </si>
  <si>
    <t>Montserrat</t>
  </si>
  <si>
    <t>Belize</t>
  </si>
  <si>
    <t>Costa Rica</t>
  </si>
  <si>
    <t>El Salvador</t>
  </si>
  <si>
    <t>Guatemala</t>
  </si>
  <si>
    <t>Honduras</t>
  </si>
  <si>
    <t>Nicaragua</t>
  </si>
  <si>
    <t>Panama</t>
  </si>
  <si>
    <t>Canada</t>
  </si>
  <si>
    <t>Guam</t>
  </si>
  <si>
    <t>Kiribati</t>
  </si>
  <si>
    <t>Nauru</t>
  </si>
  <si>
    <t>Samoa</t>
  </si>
  <si>
    <t>Tonga</t>
  </si>
  <si>
    <t>Tuvalu</t>
  </si>
  <si>
    <t>Guyana</t>
  </si>
  <si>
    <t>Paraguay</t>
  </si>
  <si>
    <t>Suriname</t>
  </si>
  <si>
    <t>Uruguay</t>
  </si>
  <si>
    <t>Pays/zone</t>
  </si>
  <si>
    <t>Superficie forestière (1 000 ha)</t>
  </si>
  <si>
    <t>Taux de changement annuel</t>
  </si>
  <si>
    <t>1990-2000</t>
  </si>
  <si>
    <t>2000-2005</t>
  </si>
  <si>
    <t>2005-2010</t>
  </si>
  <si>
    <t>1 000
ha/an</t>
  </si>
  <si>
    <t>Comores</t>
  </si>
  <si>
    <t>Erythrée</t>
  </si>
  <si>
    <t>Ethiopie</t>
  </si>
  <si>
    <t>Maurice</t>
  </si>
  <si>
    <t>Namibie</t>
  </si>
  <si>
    <t>Ouganda</t>
  </si>
  <si>
    <t>République-Unie de Tanzanie</t>
  </si>
  <si>
    <t>Somalie</t>
  </si>
  <si>
    <t>Zambie</t>
  </si>
  <si>
    <t>Afrique de l'Est et australe</t>
  </si>
  <si>
    <t>Egypte</t>
  </si>
  <si>
    <t>Jamahiriya arabe libyenne</t>
  </si>
  <si>
    <t>Maroc</t>
  </si>
  <si>
    <t>Mauritanie</t>
  </si>
  <si>
    <t>Sahara occidental</t>
  </si>
  <si>
    <t>Soudan</t>
  </si>
  <si>
    <t>Tunisie</t>
  </si>
  <si>
    <t>Afrique du Nord</t>
  </si>
  <si>
    <t>Bénin</t>
  </si>
  <si>
    <t>Cameroun</t>
  </si>
  <si>
    <t>Cap-Vert</t>
  </si>
  <si>
    <t>Côte d’Ivoire</t>
  </si>
  <si>
    <t>Gambie</t>
  </si>
  <si>
    <t>Guinée</t>
  </si>
  <si>
    <t>Guinée équatoriale</t>
  </si>
  <si>
    <t>Guinée-Bissau</t>
  </si>
  <si>
    <t>Libéria</t>
  </si>
  <si>
    <t>Nigéria</t>
  </si>
  <si>
    <t>République centrafricaine</t>
  </si>
  <si>
    <t>République démocratique du Congo</t>
  </si>
  <si>
    <t>Sainte-Hélène, Ascension et Tristan da Cunha</t>
  </si>
  <si>
    <t>Sao Tomé-et-Principe</t>
  </si>
  <si>
    <t>Sénégal</t>
  </si>
  <si>
    <t>Tchad</t>
  </si>
  <si>
    <t>Afrique de l'Ouest et centrale</t>
  </si>
  <si>
    <t>Afrique</t>
  </si>
  <si>
    <t>Chine</t>
  </si>
  <si>
    <t>Japon</t>
  </si>
  <si>
    <t>Mongolie</t>
  </si>
  <si>
    <t>République de Corée</t>
  </si>
  <si>
    <t>République populaire démocratique de Corée</t>
  </si>
  <si>
    <t>Asie de l'Est</t>
  </si>
  <si>
    <t>Bhoutan</t>
  </si>
  <si>
    <t>Brunéi Darussalam</t>
  </si>
  <si>
    <t>Cambodge</t>
  </si>
  <si>
    <t>Inde</t>
  </si>
  <si>
    <t>Indonésie</t>
  </si>
  <si>
    <t>Malaisie</t>
  </si>
  <si>
    <t>Népal</t>
  </si>
  <si>
    <t>République démocratique populaire lao</t>
  </si>
  <si>
    <t>Singapour</t>
  </si>
  <si>
    <t>Thaïlande</t>
  </si>
  <si>
    <t>Asie du Sud et du Sud-Est</t>
  </si>
  <si>
    <t>Azerbaïdjan</t>
  </si>
  <si>
    <t>Bahreïn</t>
  </si>
  <si>
    <t>Chypre</t>
  </si>
  <si>
    <t>Emirats arabes unis</t>
  </si>
  <si>
    <t>Géorgie</t>
  </si>
  <si>
    <t>Iran (République islamique d’)</t>
  </si>
  <si>
    <t>Israël</t>
  </si>
  <si>
    <t>Jordanie</t>
  </si>
  <si>
    <t>Kirghizistan</t>
  </si>
  <si>
    <t>Koweït</t>
  </si>
  <si>
    <t>Liban</t>
  </si>
  <si>
    <t>Ouzbékistan</t>
  </si>
  <si>
    <t>République arabe syrienne</t>
  </si>
  <si>
    <t>Tadjikistan</t>
  </si>
  <si>
    <t>Territoire palestinien occupé</t>
  </si>
  <si>
    <t>Turkménistan</t>
  </si>
  <si>
    <t>Turquie</t>
  </si>
  <si>
    <t>Yémen</t>
  </si>
  <si>
    <t>Asie de l'Ouest et centrale</t>
  </si>
  <si>
    <t>Asie</t>
  </si>
  <si>
    <t>Bélarus</t>
  </si>
  <si>
    <t>Belgique</t>
  </si>
  <si>
    <t>Bosnie-Herzégovine</t>
  </si>
  <si>
    <t>Bulgarie</t>
  </si>
  <si>
    <t>Croatie</t>
  </si>
  <si>
    <t>Danemark</t>
  </si>
  <si>
    <t>Espagne</t>
  </si>
  <si>
    <t>Estonie</t>
  </si>
  <si>
    <t>Ex-République yougoslave de Macédoine</t>
  </si>
  <si>
    <t>Fédération de Russie</t>
  </si>
  <si>
    <t>Finlande</t>
  </si>
  <si>
    <t>Grèce</t>
  </si>
  <si>
    <t>Guernesey</t>
  </si>
  <si>
    <t>Hongrie</t>
  </si>
  <si>
    <t>IIes Féroé</t>
  </si>
  <si>
    <t>Ile of Man</t>
  </si>
  <si>
    <t>Iles Svalbard et Jan Mayen</t>
  </si>
  <si>
    <t>Irlande</t>
  </si>
  <si>
    <t>Islande</t>
  </si>
  <si>
    <t>Italie</t>
  </si>
  <si>
    <t>Jersey</t>
  </si>
  <si>
    <t>Lettonie</t>
  </si>
  <si>
    <t>Lituanie</t>
  </si>
  <si>
    <t>Malte</t>
  </si>
  <si>
    <t>Monténégro</t>
  </si>
  <si>
    <t>Norvège</t>
  </si>
  <si>
    <t>Pays-Bas</t>
  </si>
  <si>
    <t>Pologne</t>
  </si>
  <si>
    <t>République de Moldova</t>
  </si>
  <si>
    <t>République tchèque</t>
  </si>
  <si>
    <t>Roumanie</t>
  </si>
  <si>
    <t>Royaume-Uni</t>
  </si>
  <si>
    <t>Saint-Siège</t>
  </si>
  <si>
    <t>Serbie</t>
  </si>
  <si>
    <t>Slovaquie</t>
  </si>
  <si>
    <t>Slovénie</t>
  </si>
  <si>
    <t>Suède</t>
  </si>
  <si>
    <t>Suisse</t>
  </si>
  <si>
    <t>Antilles néerlandaises</t>
  </si>
  <si>
    <t>Barbade</t>
  </si>
  <si>
    <t>Bermudes</t>
  </si>
  <si>
    <t>Dominique</t>
  </si>
  <si>
    <t>Grenade</t>
  </si>
  <si>
    <t>Haïti</t>
  </si>
  <si>
    <t>Iles Caïmanes</t>
  </si>
  <si>
    <t>Iles Turques et Caïques</t>
  </si>
  <si>
    <t>Iles Vierges américaines</t>
  </si>
  <si>
    <t>Iles Vierges britanniques</t>
  </si>
  <si>
    <t>Jamaïque</t>
  </si>
  <si>
    <t>Porto Rico</t>
  </si>
  <si>
    <t>République dominicaine</t>
  </si>
  <si>
    <t>Saint-Barthélemy</t>
  </si>
  <si>
    <r>
      <t>0</t>
    </r>
    <r>
      <rPr>
        <vertAlign val="superscript"/>
        <sz val="8"/>
        <color indexed="8"/>
        <rFont val="Arial"/>
        <family val="2"/>
      </rPr>
      <t>b</t>
    </r>
  </si>
  <si>
    <t>Saint-Kitts-et-Nevis</t>
  </si>
  <si>
    <t>Saint-Martin (partie française)</t>
  </si>
  <si>
    <t>Saint-Vincent-et-les-Grenadines</t>
  </si>
  <si>
    <t>Trinité-et-Tobago</t>
  </si>
  <si>
    <t>Caraïbes</t>
  </si>
  <si>
    <t>Amérique centrale</t>
  </si>
  <si>
    <t>Etats-Unis d’Amérique</t>
  </si>
  <si>
    <t>Groenland</t>
  </si>
  <si>
    <t>Mexique</t>
  </si>
  <si>
    <t>Saint-Pierre-et-Miquelon</t>
  </si>
  <si>
    <t>Amérique du Nord</t>
  </si>
  <si>
    <t>Amérique du Nord et centrale</t>
  </si>
  <si>
    <t>Fidji</t>
  </si>
  <si>
    <t>Ile Norfolk</t>
  </si>
  <si>
    <t>Ile Pitcairn</t>
  </si>
  <si>
    <t>Iles Cook</t>
  </si>
  <si>
    <t>Iles Mariannes septentrionales</t>
  </si>
  <si>
    <t>Iles Marshall</t>
  </si>
  <si>
    <t>Iles Salomon</t>
  </si>
  <si>
    <t>Iles Wallis et Futuna</t>
  </si>
  <si>
    <t>Micronésie (Etats fédérés de)</t>
  </si>
  <si>
    <t>Nioué</t>
  </si>
  <si>
    <t>Nouvelle-Calédonie</t>
  </si>
  <si>
    <t>Nouvelle-Zélande</t>
  </si>
  <si>
    <t>Palaos</t>
  </si>
  <si>
    <t>Papouasie-Nouvelle-Guinée</t>
  </si>
  <si>
    <t>Polynésie française</t>
  </si>
  <si>
    <r>
      <t>55</t>
    </r>
    <r>
      <rPr>
        <vertAlign val="superscript"/>
        <sz val="8"/>
        <color indexed="8"/>
        <rFont val="Arial"/>
        <family val="2"/>
      </rPr>
      <t>b</t>
    </r>
  </si>
  <si>
    <t>Samoa américaines</t>
  </si>
  <si>
    <t>Tokélaou</t>
  </si>
  <si>
    <t>Océanie</t>
  </si>
  <si>
    <t>Bolivie (Etat plurinational de)</t>
  </si>
  <si>
    <t>Brésil</t>
  </si>
  <si>
    <t>Chili</t>
  </si>
  <si>
    <t>Colombie</t>
  </si>
  <si>
    <t>Equateur</t>
  </si>
  <si>
    <t>Guyane française</t>
  </si>
  <si>
    <t>Iles Falkland (Malvinas) *</t>
  </si>
  <si>
    <t>Pérou</t>
  </si>
  <si>
    <t>Venezuela (République bolivarienne du)</t>
  </si>
  <si>
    <t>Amérique du Sud</t>
  </si>
  <si>
    <t>Monde</t>
  </si>
  <si>
    <r>
      <t>a</t>
    </r>
    <r>
      <rPr>
        <sz val="8"/>
        <color indexed="8"/>
        <rFont val="Arial"/>
        <family val="2"/>
      </rPr>
      <t xml:space="preserve"> Taux de gain ou de perte en pourcentage de la superficie forestière restante chaque année pendant la période donnée.</t>
    </r>
  </si>
  <si>
    <r>
      <t>b</t>
    </r>
    <r>
      <rPr>
        <sz val="8"/>
        <color indexed="8"/>
        <rFont val="Arial"/>
        <family val="2"/>
      </rPr>
      <t xml:space="preserve">   Estimations de la FAO fondées sur les informations provenant de ces deux pays pour 2000 et 2005.</t>
    </r>
  </si>
  <si>
    <t>* La souveraineté sur les Iles Falkland (Malvinas) fait l’objet d’un différend entre le Gouvernement argentin et le Gouvernement du Royaume-Uni de Grande-Bretagne et d’Irlande du Nord.</t>
  </si>
  <si>
    <t>Dans quel pays le bois a-t-il été récolté ?</t>
  </si>
  <si>
    <t>Dans quel pays se situe le fournisseur ?</t>
  </si>
  <si>
    <t>Zone</t>
  </si>
  <si>
    <t>Pays membre de l'UE</t>
  </si>
  <si>
    <t>Pays membre de l'Union Européenne</t>
  </si>
  <si>
    <t>Pays tiers de l'Union Européenne</t>
  </si>
  <si>
    <t>Permis CITES</t>
  </si>
  <si>
    <t>Autorisation FLEGT</t>
  </si>
  <si>
    <t>Produit certifié durable ou légal (compatible RBUE)</t>
  </si>
  <si>
    <t>Commentaire</t>
  </si>
  <si>
    <t>La légalité du bois est garantie</t>
  </si>
  <si>
    <t>Origine géographique inconnue</t>
  </si>
  <si>
    <t>Pays de récolte</t>
  </si>
  <si>
    <t>Localité du fournisseur</t>
  </si>
  <si>
    <t>La connaissance de l'origine géographique du fournisseur est indispensable à l'évaluation</t>
  </si>
  <si>
    <t>La connaissance de l'origine géographique du fournisseur est indispensable à l'évaluation.</t>
  </si>
  <si>
    <t>Référence</t>
  </si>
  <si>
    <t>Le fournisseur est celui qui a la possession juridique de la matière au moment de l'achat (lieu où la facture est établie).
Les documents de vente du fournisseur doivent fournir ces renseignements.</t>
  </si>
  <si>
    <t xml:space="preserve"> Ne sait pas</t>
  </si>
  <si>
    <t>Ne sait pas</t>
  </si>
  <si>
    <t>Les produits accompagnés d’un permis CITES apportent une garantie de légalité (ils font l’objet de procédures de contrôle dans les pays producteurs et lors de l’importation dans l’UE).</t>
  </si>
  <si>
    <t>Le pays de récolte est le pays où l'exploitation forestière a été réalisée.
Les documents de vente du fournisseur et l'analyse des aires de répartition des essences de bois peuvent fournir ces renseignements.</t>
  </si>
  <si>
    <t>Le pays est-il concerné par des sanctions ?
Ou le pays est-il connu pour un faible niveau de gouvernance forestière  ?</t>
  </si>
  <si>
    <t>Le fournisseur met-il à disposition les documents attestant de la mise en œuvre d'un système de vérification de la légalité du bois ?</t>
  </si>
  <si>
    <t>A quel niveau de risque a-t-il évalué les bois ?</t>
  </si>
  <si>
    <t>Niveau de risques</t>
  </si>
  <si>
    <t>Risque faible</t>
  </si>
  <si>
    <t>Risque moyen</t>
  </si>
  <si>
    <t>Risque fort</t>
  </si>
  <si>
    <t>Le fournisseur doit justifier du niveau de risque des approvisionnements en bois dont la récolte a été effectuée en dehors de l'Union Européenne.</t>
  </si>
  <si>
    <t>Examen des documents du fournisseur relatifs à la légalité.</t>
  </si>
  <si>
    <t>Tout opérateur européen doit collecter des informations sur les essences, le lieu de récolte et la légalité du produit.
Les opérateurs peuvent mettre en place ce système de façon individuelle ou via une organisation de contrôle : entité qui met en place un système de diligence raisonnée et vérifie son bon usage par les opérateurs (critères et procédures de reconnaissance fixés au niveau européen).</t>
  </si>
  <si>
    <t>(OLB, TLTV, FSC, PEFC, système de diligence raisonnée reconnue par l'Union Européenne, etc.)</t>
  </si>
  <si>
    <t>L’ensemble des bois non couverts par une autorisation FLEGT ou par un système de certification compatible RBUE est considéré comme à risque non négligeable. Une analyse des risques d'illégalité des bois est nécessaire</t>
  </si>
  <si>
    <t>Suite de l'évaluation &gt;</t>
  </si>
  <si>
    <t>(cas où les deux sont situés en dehors de l'Union Européenne)</t>
  </si>
  <si>
    <t>(cas où le pays de récolte est inconnu ou en dehors de l'Union Européenne et où le fournisseur est situé dans un pays membre de l'Union Européenne)</t>
  </si>
  <si>
    <t>Le bois ne provient pas de terres de grande valeur en termes de biodiversité ou ayant le caractère de tourbières (lieu de récolte)</t>
  </si>
  <si>
    <t>Légalité</t>
  </si>
  <si>
    <t>Biodiversité</t>
  </si>
  <si>
    <t>Le système de certification (ou de vérification) doit être analysé (savoir si les critères de légalité sont pris en compte)</t>
  </si>
  <si>
    <t>Un permis CITES permet de vérifier que le commerce de ces espèces est autorisé et très réglementé pour ne pas attenter à la survie de l'espèce. Le risque est donc considéré comme faible.</t>
  </si>
  <si>
    <t>Les produits sont-ils couverts par un système de certification crédible et prenant en compte la biodiversité ? Ou par une vérification tierce partie ?</t>
  </si>
  <si>
    <t>Le cadre réglementaire du pays de récolte doit être analysé (savoir si les critères de biodiversité sont pris en compte)</t>
  </si>
  <si>
    <t>Produit certifié durable ou légal</t>
  </si>
  <si>
    <t>Transport routier</t>
  </si>
  <si>
    <t>Modèle de navire</t>
  </si>
  <si>
    <t>émission par tonne.km (kg éq. C)</t>
  </si>
  <si>
    <t>Classe de PTAC</t>
  </si>
  <si>
    <t>tracteurs routiers</t>
  </si>
  <si>
    <t>Trajet 1</t>
  </si>
  <si>
    <t>Trajet 3</t>
  </si>
  <si>
    <t>Trajet 4</t>
  </si>
  <si>
    <t>Trajet 5</t>
  </si>
  <si>
    <t>Transport maritime</t>
  </si>
  <si>
    <t>Si oui, de quelles garanties s'agit-il ?</t>
  </si>
  <si>
    <t>Dans quelle région forestière ?</t>
  </si>
  <si>
    <t>Le bois ne doit pas provenir de zones où les droits du travail, les droits des communautés locales et des populations autochtones ne sont pas respectés</t>
  </si>
  <si>
    <t>L’origine géographique de la ressource n'est pas connue pour des conflits d’usage.</t>
  </si>
  <si>
    <t>Aucune vérification concernant les conflits d'usage n'a été effectuée.</t>
  </si>
  <si>
    <t>Aucune vérification concernant les conflits d'usage n'a été effectuée, mais des garanties sont cependant apportées.</t>
  </si>
  <si>
    <t>L’origine géographique de la ressource est connue pour des conflits d’usage mais des garanties complémentaires sont apportées.</t>
  </si>
  <si>
    <t>Les filières d’approvisionnement régionales et nationales ont été étudiées. Des études justifiant le choix ne sont cependant pas disponibles.</t>
  </si>
  <si>
    <t>Aucune information n'est disponible pour justifier que les filières d’approvisionnement régionales et nationales ont été étudiées.</t>
  </si>
  <si>
    <t>Trajet 2</t>
  </si>
  <si>
    <t>Les produits étant couverts par un système de certification crédible, ou par une vérification tierce partie, et couvrant les exigences légales, les produits peuvent être considérés à risque faible.</t>
  </si>
  <si>
    <t>Le fournisseur et l'origine du bois étant situés dans un Etat membre de l'Union Européenne, les produits peuvent être considérés à risque faible en terme de légalité.</t>
  </si>
  <si>
    <t>pondération</t>
  </si>
  <si>
    <t>Localisation du fournisseur</t>
  </si>
  <si>
    <t xml:space="preserve"> www.nationalgeographic.com </t>
  </si>
  <si>
    <t>www.worldwildlife.org/science/ecoregions.cfm</t>
  </si>
  <si>
    <t>http://gra.nepcon.net</t>
  </si>
  <si>
    <t>www.biodiv.org/world/parties.asp</t>
  </si>
  <si>
    <t>www.biodiv.org/reports/list.aspx?type=for</t>
  </si>
  <si>
    <t>Ne sait pas (valeur par défaut : tracteurs routiers)</t>
  </si>
  <si>
    <t>PTAC &lt; 1,5 t essence</t>
  </si>
  <si>
    <t>PTAC &lt; 1,5 t diesel</t>
  </si>
  <si>
    <t>PTAC 1,5 à 2,5 t essence</t>
  </si>
  <si>
    <t>PTAC 1,5 à 2,5 t diesel</t>
  </si>
  <si>
    <t>PTAC 2,51 à 3,5 t essence</t>
  </si>
  <si>
    <t>PTAC 2,51 à 3,5 t diesel</t>
  </si>
  <si>
    <t>PTAC 3,5 t</t>
  </si>
  <si>
    <t>PTAC 3,51 à 5 t</t>
  </si>
  <si>
    <t>PTAC 5 à 6 t</t>
  </si>
  <si>
    <t>PTAC 6,1 à 10,9 t</t>
  </si>
  <si>
    <t>PTAC 11 à 19 t</t>
  </si>
  <si>
    <t>PTAC 19,1 à 21 t</t>
  </si>
  <si>
    <t>PTAC plus de 21 t</t>
  </si>
  <si>
    <t>Taux d'émissions par tonne.km (kg éq.CO2)</t>
  </si>
  <si>
    <t>Ne sait pas (valeur par défaut : gros vraquiers)</t>
  </si>
  <si>
    <t>kg eq CO2</t>
  </si>
  <si>
    <t xml:space="preserve">handysize - 1970 - 20000 T </t>
  </si>
  <si>
    <t xml:space="preserve">handysize - 1980 - 20000 T </t>
  </si>
  <si>
    <t>handysize - 1990 - 20000 T</t>
  </si>
  <si>
    <t>handymax - 1980 - 40000 T</t>
  </si>
  <si>
    <t>handymax - 1990 - 40000 T</t>
  </si>
  <si>
    <t xml:space="preserve">panamax - 1970 - 70000 T </t>
  </si>
  <si>
    <t>panamax - 1980 - 70000 T</t>
  </si>
  <si>
    <t xml:space="preserve">panamax - 1990 - 70000 T </t>
  </si>
  <si>
    <t xml:space="preserve">capesize - 1970 - 150000 T </t>
  </si>
  <si>
    <t>capesize - 1980 - 150000 T</t>
  </si>
  <si>
    <t>capesize - 1990 - 150000 T (gros vraquier)</t>
  </si>
  <si>
    <t>Quantité d'équivalent énergétique (MWh)</t>
  </si>
  <si>
    <t>kg eq CO2/MWh</t>
  </si>
  <si>
    <t>kg eq CO2/t</t>
  </si>
  <si>
    <t>Quantité transportée (t)</t>
  </si>
  <si>
    <t xml:space="preserve">Veille sur la chaîne d’approvisionnement </t>
  </si>
  <si>
    <t>Veille sur les sanctions du CSNU ou du CUE concernant le commerce du bois</t>
  </si>
  <si>
    <t xml:space="preserve">www.transparency.org </t>
  </si>
  <si>
    <t>NB : depuis 2012, l’indice de perception de la corruption est mesuré sur une échelle de 0 à 100.</t>
  </si>
  <si>
    <t>Aucune information n'est disponible pour justifier que les filières d’approvisionnement régionales et nationales ne sont pas pertinentes.</t>
  </si>
  <si>
    <t>Pays de récolte du bois</t>
  </si>
  <si>
    <t>Suite legalité</t>
  </si>
  <si>
    <t>Suite legalité_commentaire</t>
  </si>
  <si>
    <t>&gt;&gt; Fin de l'évaluation de la légalité du bois</t>
  </si>
  <si>
    <t>&gt;&gt; Evaluation d'un lieu de récolte et d'un fournisseur (poursuivre en 1B)</t>
  </si>
  <si>
    <t>&gt;&gt; Evaluation d'un fournisseur européen (poursuivre en 1C)</t>
  </si>
  <si>
    <t>(exemples : OLB, TLTV, FSC, PEFC, système de diligence raisonnée reconnue par l'Union Européenne, etc.)</t>
  </si>
  <si>
    <t>Le système de certification (ou de vérification) doit être analysé (savoir si les critères de biodiversité sont pris en compte)</t>
  </si>
  <si>
    <t>Seule une analyse complète du lieu de récolte permet de garantir la prise en compte de la biodiversité. Le risque est considéré comme non négligeable sans une analyse des risques supplémentaire</t>
  </si>
  <si>
    <t>L’origine géographique de la ressource est-elle connue pour des conflits d’usage impactant les secteurs de l’industrie ?</t>
  </si>
  <si>
    <t>Recherche sur internet avec les mots clefs "conflit" "usage" "industrie" "bois énergie" et le nom du pays et/ou de la zone de récolte</t>
  </si>
  <si>
    <t>niveau de risque</t>
  </si>
  <si>
    <t>industrie</t>
  </si>
  <si>
    <t>populations locales</t>
  </si>
  <si>
    <t>Garanties</t>
  </si>
  <si>
    <t>Evaluation du risque de non satisfaction du critère</t>
  </si>
  <si>
    <t>Pouvoir calorifique moyen du ou des biocombustibles transportés (MWh/t)</t>
  </si>
  <si>
    <t xml:space="preserve">Un bilan massique (ou "bilan carbone") du produit a-t-il été réalisé ? </t>
  </si>
  <si>
    <t>GES</t>
  </si>
  <si>
    <t>certification</t>
  </si>
  <si>
    <t>bilan massique</t>
  </si>
  <si>
    <t>Ne sait pas (valeur par défaut : PTAC &gt; 21 t)</t>
  </si>
  <si>
    <t xml:space="preserve">Total des émissions GES </t>
  </si>
  <si>
    <t>Emissions par tonne (kg eq. CO2/t)</t>
  </si>
  <si>
    <t>soit émissions GES / tonne</t>
  </si>
  <si>
    <t xml:space="preserve">soit émissions GES / MWh </t>
  </si>
  <si>
    <t>non déterminé</t>
  </si>
  <si>
    <t>L’origine géographique de la ressource est connue pour des conflits d’usage et aucune garantie complémentaire n'est apportée.</t>
  </si>
  <si>
    <t>L’origine géographique de la ressource est connue pour des conflits d’usage et aucune information complémentaire ne permet d'apporter des garanties.</t>
  </si>
  <si>
    <t>Merci de vérifier vos réponses</t>
  </si>
  <si>
    <t>La vérification concernant les conflits d'usages est incomplète.</t>
  </si>
  <si>
    <t>La vérification concernant les conflits d'usages est incomplète, mais des garanties sont cependant apportées.</t>
  </si>
  <si>
    <t>Identification de fournisseurs "locaux" susceptibles de fournir le type de combustible visé</t>
  </si>
  <si>
    <t>Le surcoût éventuel de l’approvisionnement local est connu (devis réalisés auprès de fournisseurs régionaux) et justifie le choix.</t>
  </si>
  <si>
    <t>L'approvisionnement "local" (régional/ national) est-il comparativement moins intéressant (en termes économiques, qualitatifs, régularité et sécurité de l'approvisionnement…) ?</t>
  </si>
  <si>
    <t>(exemples : OLB, TLTV, FSC, PEFC, etc.)</t>
  </si>
  <si>
    <t>Rappel des caractéristiques de l'approvisionnement évalué</t>
  </si>
  <si>
    <t>Type(s) de biocombustible</t>
  </si>
  <si>
    <t>PCI moyen</t>
  </si>
  <si>
    <t>PCI (MWh/t)</t>
  </si>
  <si>
    <t>Poids (t)</t>
  </si>
  <si>
    <t>Type</t>
  </si>
  <si>
    <t>Avant de commencer l'évaluation, veuillez vous assurer d'avoir récolté les informations nécessaires :</t>
  </si>
  <si>
    <t>Evenement exceptionnel</t>
  </si>
  <si>
    <t xml:space="preserve"> Aucun évènement exceptionnel ne peut justifier d'un gisement supplémentaire disponible à court terme</t>
  </si>
  <si>
    <t xml:space="preserve"> Un gisement supplémentaire à court terme est peut-être disponible et nécessite des investigations supplémentaires</t>
  </si>
  <si>
    <t>Entreprise :</t>
  </si>
  <si>
    <t>Evaluateur :</t>
  </si>
  <si>
    <t>PCI moyen (en MWh/t)*</t>
  </si>
  <si>
    <t>Le fournisseur étant situé dans un pays tiers de l'Union Européenne, il est nécessaire d'évaluer les risques concernant l'origine légale du bois qui doit être remis sur le marché européen.</t>
  </si>
  <si>
    <t>Le fournisseur étant situé dans un Etat membre de l'Union Européenne, il a la responsabilité d'évaluer les risques concernant l'origine légale du bois.
Il est cependant nécessaire de vérifier que le fournisseur à mis en œuvre ces exigences.</t>
  </si>
  <si>
    <t>Le fournisseur étant situé dans un Etat membre de l'Union Européenne, il a la responsabilité d'évaluer les risques concernant l'origine légale du bois. Il est cependant nécessaire de vérifier que le fournisseur à mis en œuvre ces exigences.</t>
  </si>
  <si>
    <t>Le fournisseur et le lieu de récolte étant situés dans des pays tiers de l'Union Européenne, il est nécessaire d'évaluer les risques concernant l'origine légale du bois.</t>
  </si>
  <si>
    <t>La connaissance du lieu de récolte est nécessaire pour poursuivre l'évaluation des produits, renseignez-vous auprès de votre fournisseur pour analyser votre chaîne d'approvisionnement. En effet, le fournisseur étant situé dans un pays tiers de l'Union Européenne, il est nécessaire d'évaluer les risques concernant l'origine légale du bois.</t>
  </si>
  <si>
    <t>&gt;&gt; Recommencer l'évaluation avec les éléments indispensables (lieu de récolte).</t>
  </si>
  <si>
    <t>&gt;&gt; Recommencer l'évaluation avec les éléments indispensables (localité du fournisseur).</t>
  </si>
  <si>
    <t>&gt;&gt; Recommencer l'évaluation avec les éléments indispensables (localité du fournisseur et de la récolte).</t>
  </si>
  <si>
    <t>1B</t>
  </si>
  <si>
    <t>1C</t>
  </si>
  <si>
    <t>Colonne1</t>
  </si>
  <si>
    <t>Suite</t>
  </si>
  <si>
    <t>Fin</t>
  </si>
  <si>
    <t>Recommencer</t>
  </si>
  <si>
    <t>Combustible</t>
  </si>
  <si>
    <t>Nom</t>
  </si>
  <si>
    <t>Indiquer un nom…</t>
  </si>
  <si>
    <t>Décrire le produit…</t>
  </si>
  <si>
    <t>Si les produits sont couverts par un système de certification, il est précisé dans la référence des produits (dans leur désignation) sur les documents de vente et un numéro de certificat est précisé.</t>
  </si>
  <si>
    <t>Le bois risque-t-il de provenir de forêts primaires ?</t>
  </si>
  <si>
    <t>Le bois risque-t-il de provenir de zones affectées à la protection de la nature par la loi ou une personne publique ?</t>
  </si>
  <si>
    <t>Ou de zones affectées à la protection d'écosystèmes ou d'espèces rares, menacées ou en voie de disparition, reconnues par des conventions ou accords internationaux ou figurant sur les listes établies par des organisations intergouvernementales ou l'Union internationale pour la conservation de la nature</t>
  </si>
  <si>
    <t>Le système de certification (ou de vérification) devrait être analysé (savoir si les critères de légalité sont pris en compte)</t>
  </si>
  <si>
    <t>La zone de récolte du bois est-elle connue pour présenter des grandes valeurs en matière de biodiversité ?</t>
  </si>
  <si>
    <t>RAPPEL : Bilan des émissions de gaz à effet de serre du gaz</t>
  </si>
  <si>
    <t>RAPPEL : Bilan des émissions de gaz à effet de serre du fioul</t>
  </si>
  <si>
    <t>Notes / commentaires</t>
  </si>
  <si>
    <t>Les filières d’approvisionnement régionales et nationales devraient être étudiées.</t>
  </si>
  <si>
    <t>*Si plusieurs produits différents sont issus d'une même source d'approvisionnement, vous pouvez utiliser l'outil de calcul du PCI moyen.</t>
  </si>
  <si>
    <t xml:space="preserve"> &gt; Aller à l'outil</t>
  </si>
  <si>
    <t>▼</t>
  </si>
  <si>
    <t>Si des conflits d'usage sont avérés, des garanties complémentaires sont-elles apportées ?</t>
  </si>
  <si>
    <t>L'approvisionnement "local" (régional/ national) est-il comparativement moins intéressant</t>
  </si>
  <si>
    <t>Les filières d’approvisionnement régionales et nationales ont été étudiées et n'apparaissent pas pertinentes.</t>
  </si>
  <si>
    <t>Lien choix</t>
  </si>
  <si>
    <t>OUTIL D'EVALUATION DE LA DURABILITE DE L’IMPORTATION DE BOIS ENERGIE</t>
  </si>
  <si>
    <t>Outil développé pour le compte de l’ADEME par BLEZAT Consulting et Agence MTDA</t>
  </si>
  <si>
    <r>
      <t>Coordination technique :</t>
    </r>
    <r>
      <rPr>
        <sz val="11"/>
        <color rgb="FF000000"/>
        <rFont val="Arial"/>
        <family val="2"/>
      </rPr>
      <t xml:space="preserve">
Lise LAMBERT – Energie et effet de serre – ADEME Pays de la Loire</t>
    </r>
  </si>
  <si>
    <t>CRITERES DE DURABILITE</t>
  </si>
  <si>
    <t>Origine du bois et du fournisseur</t>
  </si>
  <si>
    <t>Analyse des risques liés à un lieu de récolte et un fournisseur hors UE</t>
  </si>
  <si>
    <t>&gt;</t>
  </si>
  <si>
    <t>Analyse des risques liés à un fournisseur européen</t>
  </si>
  <si>
    <t>Analyse des risques relatifs à la biodiversité</t>
  </si>
  <si>
    <r>
      <t xml:space="preserve">Décrire le type de trajet
</t>
    </r>
    <r>
      <rPr>
        <sz val="9"/>
        <rFont val="Arial"/>
        <family val="2"/>
      </rPr>
      <t>(exemple : transport du lieu de récolte à la zone de stockage)</t>
    </r>
  </si>
  <si>
    <t>Emissions liées au transport :</t>
  </si>
  <si>
    <t>Emissions de GES du transport</t>
  </si>
  <si>
    <t>Taux de réduction des émissions de gaz à effet de serre résultant de l'utilisation du bois  (par comparaison au gaz) :</t>
  </si>
  <si>
    <t>Origine des produits</t>
  </si>
  <si>
    <t>http://www.ilo.org/global/lang--fr</t>
  </si>
  <si>
    <r>
      <t xml:space="preserve">Remplir les cases jaunes
</t>
    </r>
    <r>
      <rPr>
        <sz val="8"/>
        <color rgb="FF0070C0"/>
        <rFont val="Arial"/>
        <family val="2"/>
      </rPr>
      <t xml:space="preserve">(à reporter dans les différents onglets en fonction des questions) </t>
    </r>
  </si>
  <si>
    <r>
      <rPr>
        <b/>
        <i/>
        <u/>
        <sz val="9"/>
        <color rgb="FF0070C0"/>
        <rFont val="Arial"/>
        <family val="2"/>
      </rPr>
      <t>Conditions d'évaluation du risque :</t>
    </r>
    <r>
      <rPr>
        <i/>
        <sz val="9"/>
        <rFont val="Arial"/>
        <family val="2"/>
      </rPr>
      <t xml:space="preserve">
Le risque est considéré comme faible si l'origine géographique de la ressource n'est pas connue pour des conflits d’usage impactant les secteurs de l’industrie ou la sécurité alimentaire.
Dans le cas contraire (si des conflits d'usage sont avérés), le risque que le critère 4 ne soit pas satisfait est considéré comme fort, sauf si des garanties complémentaires sont apportées (dans ce cas, le risque est faible).</t>
    </r>
  </si>
  <si>
    <r>
      <t xml:space="preserve">Distance parcourue (km)
</t>
    </r>
    <r>
      <rPr>
        <i/>
        <sz val="8"/>
        <rFont val="Arial"/>
        <family val="2"/>
      </rPr>
      <t>http://www.searates.com/reference/portdistance/
http://www.portworld.com</t>
    </r>
  </si>
  <si>
    <t>u</t>
  </si>
  <si>
    <t>}</t>
  </si>
  <si>
    <t>Précisez ici vos remarques concernant les valeurs indiquées et leur justification…</t>
  </si>
  <si>
    <t xml:space="preserve">Précisez ici vos remarques concernant les valeurs indiquées et leur justification…
</t>
  </si>
  <si>
    <t>Commentaires</t>
  </si>
  <si>
    <t>RESULTATS D'EVALUATION</t>
  </si>
  <si>
    <t>NOM entreprise / projet</t>
  </si>
  <si>
    <t>Type de biocombustible</t>
  </si>
  <si>
    <t>Quantité (en tonnes)</t>
  </si>
  <si>
    <t>A-t-il mis en œuvre des mesures adaptées de réduction de ce risque ?</t>
  </si>
  <si>
    <t>Si le niveau de risque évalué inclut les mesures de réduction du risque, choisir "non".
NB : Le fournisseur doit justifier que les mesures de réduction du risque sont pertinentes et permettent d'éviter les bois d'origine illégale.</t>
  </si>
  <si>
    <t>http://www.intactforests.org/world.map.html</t>
  </si>
  <si>
    <t>ou autres surfaces boisées composées d'essences indigènes, lorsqu'il n'y a pas d'indication manifeste de l'intervention humaine et que les processus écologiques n'y sont pas perturbés de façon importante.</t>
  </si>
  <si>
    <t>Décrire le trajet</t>
  </si>
  <si>
    <t>Recherche sur internet avec les mots clefs "conflit" "usage" "déforestation" "sécurité alimentaire" et le nom du pays et/ou de la zone de récolte.</t>
  </si>
  <si>
    <t>Les produits sont-ils couverts par un système de certification crédible et  justifiant le respect des  droits du travail, des droits des communautés locales et des populations autochtones ?</t>
  </si>
  <si>
    <t>Quel système permet de le justifier ?</t>
  </si>
  <si>
    <t>Si oui,</t>
  </si>
  <si>
    <t>(en kg équivalent CO2/MWh)</t>
  </si>
  <si>
    <t>(exemple : système de certification couvrant les exigences de réduction des émissions de GES)</t>
  </si>
  <si>
    <t>Quel est le bilan des émissions de gaz à effet de serre pour 1 MWh utile produit ?</t>
  </si>
  <si>
    <t>NOM Prénom (évaluateur)</t>
  </si>
  <si>
    <t>&gt; revenir à la page précédente</t>
  </si>
  <si>
    <t>A défaut, renseigner l'équivalent de la région ou du département</t>
  </si>
  <si>
    <t xml:space="preserve">Le bois ne doit pas contribuer à créer ou renforcer des conflits d'usages </t>
  </si>
  <si>
    <t>Emissions par MWH utile (kg eq. CO2/MWh)</t>
  </si>
  <si>
    <t>Emissions totales  pour la quantité indiquée (kg eq. CO2)</t>
  </si>
  <si>
    <t>Le bois ne présente pas de risques d'introduction d'organismes nuisibles et sa combustion n'est pas nocive</t>
  </si>
  <si>
    <t>Critère 7 :</t>
  </si>
  <si>
    <t>Risques d'introduction d'organismes nuisibles</t>
  </si>
  <si>
    <t>Le bois est-il soumis à inspection phytosanitaire pour son entrée sur le territoire communautaire ?</t>
  </si>
  <si>
    <t>Les documents phytosanitaires s(er)ont-ils disponibles (accompagnement de la marchandise) ?</t>
  </si>
  <si>
    <t>Produits de traitement des bois</t>
  </si>
  <si>
    <t>Le bois a-t-il reçu un traitement chimique depuis sa récolte ?</t>
  </si>
  <si>
    <t>Si oui, les produits rendent-ils sa combustion nocive ?</t>
  </si>
  <si>
    <t>Bilan massique (ou "bilan carbone")</t>
  </si>
  <si>
    <r>
      <rPr>
        <b/>
        <i/>
        <u/>
        <sz val="9"/>
        <color rgb="FF0070C0"/>
        <rFont val="Arial"/>
        <family val="2"/>
      </rPr>
      <t>Conditions d'évaluation du risque :</t>
    </r>
    <r>
      <rPr>
        <i/>
        <sz val="9"/>
        <rFont val="Arial"/>
        <family val="2"/>
      </rPr>
      <t xml:space="preserve">
</t>
    </r>
    <r>
      <rPr>
        <b/>
        <i/>
        <sz val="9"/>
        <rFont val="Arial"/>
        <family val="2"/>
      </rPr>
      <t>Seul un bilan carbone complet</t>
    </r>
    <r>
      <rPr>
        <i/>
        <sz val="9"/>
        <rFont val="Arial"/>
        <family val="2"/>
      </rPr>
      <t xml:space="preserve">, incluant un analyse de toutes les émissions fossiles (récolte et entretien de la forêt, transformation des matières premières, transport et gestion des cendres) et émissions biogéniques (intégrant les impacts carbone liées à des changements d'affectation de sols et des changements des types des forêts, niveaux d'exploitation  et/ou systèmes de gestion forestière),  </t>
    </r>
    <r>
      <rPr>
        <b/>
        <i/>
        <sz val="9"/>
        <rFont val="Arial"/>
        <family val="2"/>
      </rPr>
      <t>permet de mesurer la réduction des émissions de gaz à effet de serre.</t>
    </r>
    <r>
      <rPr>
        <i/>
        <sz val="9"/>
        <rFont val="Arial"/>
        <family val="2"/>
      </rPr>
      <t xml:space="preserve">
Ainsi le risque que le bois ne présente pas un potentiel de réduction des émissions de GES supérieur à 35% est considéré comme suit :
</t>
    </r>
    <r>
      <rPr>
        <b/>
        <i/>
        <sz val="9"/>
        <rFont val="Arial"/>
        <family val="2"/>
      </rPr>
      <t xml:space="preserve">    Faible :</t>
    </r>
    <r>
      <rPr>
        <i/>
        <sz val="9"/>
        <rFont val="Arial"/>
        <family val="2"/>
      </rPr>
      <t xml:space="preserve"> quand il existe un bilan massique complet du produit et de son cycle de vie (incluant les émissions biogéniques si elles sont prises en compte par le système de reconnaissance) justifiant d'une réduction des émissions de GES &gt;35%.
</t>
    </r>
    <r>
      <rPr>
        <b/>
        <i/>
        <sz val="9"/>
        <rFont val="Arial"/>
        <family val="2"/>
      </rPr>
      <t xml:space="preserve">    Fort :</t>
    </r>
    <r>
      <rPr>
        <i/>
        <sz val="9"/>
        <rFont val="Arial"/>
        <family val="2"/>
      </rPr>
      <t xml:space="preserve"> quand il n'existe pas un bilan massique complet du produit et de son cycle de vie ou que celui-ci présente une réduction des émissions de GES &lt; 35%.</t>
    </r>
  </si>
  <si>
    <t>Les filières d'approvisionnement locales ont été étudiées avant de recourir à l'importation</t>
  </si>
  <si>
    <t>RESULTATS DE L'EVALUATION</t>
  </si>
  <si>
    <t>&gt; Facteurs d'émissions des moyens de transport :</t>
  </si>
  <si>
    <t>&gt; Evolution des superficies forestières 1990-2010 (source : FAO)</t>
  </si>
  <si>
    <r>
      <t>%</t>
    </r>
    <r>
      <rPr>
        <b/>
        <vertAlign val="superscript"/>
        <sz val="8"/>
        <color theme="0"/>
        <rFont val="Arial"/>
        <family val="2"/>
      </rPr>
      <t>a</t>
    </r>
  </si>
  <si>
    <t>&gt; revenir à la page d'accueil</t>
  </si>
  <si>
    <t>&gt; Calcul du PCI moyen de plusieurs combustibles :</t>
  </si>
  <si>
    <t>MWh/t</t>
  </si>
  <si>
    <r>
      <rPr>
        <b/>
        <i/>
        <u/>
        <sz val="9"/>
        <color rgb="FF0070C0"/>
        <rFont val="Arial"/>
        <family val="2"/>
      </rPr>
      <t>Conditions d'évaluation du risque :</t>
    </r>
    <r>
      <rPr>
        <i/>
        <sz val="9"/>
        <rFont val="Arial"/>
        <family val="2"/>
      </rPr>
      <t xml:space="preserve">
Le risque est considéré comme faible si les filières d'approvisionnement régionales et nationales ont été étudiées et que l'approvisionnement "local" (régional/national) est comparativement moins intéressant (en termes économiques, qualitatifs, régularité et sécurité de l'approvisionnement…).
Si l'un des indicateurs n'est pas satisfait, le risque que le critère ne soit pas satisfait est considéré comme fort.</t>
    </r>
  </si>
  <si>
    <r>
      <rPr>
        <b/>
        <i/>
        <u/>
        <sz val="9"/>
        <color rgb="FF0070C0"/>
        <rFont val="Arial"/>
        <family val="2"/>
      </rPr>
      <t>Conditions d'évaluation du risque :</t>
    </r>
    <r>
      <rPr>
        <i/>
        <sz val="9"/>
        <rFont val="Arial"/>
        <family val="2"/>
      </rPr>
      <t xml:space="preserve">
Le risque que le critère ne soit pas satisfait est considéré comme faible si le fournisseur est situé, et que le bois a été récolté, sur le territoire de l'Union Européenne (notamment grâce aux garanties apportées par la politique agricole communautaire) ou qu'il soit couvert par un système de certification (ou une vérification tierce partie) crédible et couvrant les exigences légales.
</t>
    </r>
    <r>
      <rPr>
        <b/>
        <i/>
        <u/>
        <sz val="9"/>
        <rFont val="Arial"/>
        <family val="2"/>
      </rPr>
      <t>Sinon, une analyse complémentaire doit être effectuée :</t>
    </r>
    <r>
      <rPr>
        <i/>
        <sz val="9"/>
        <rFont val="Arial"/>
        <family val="2"/>
      </rPr>
      <t xml:space="preserve">
Si le fournisseur est situé sur un territoire en dehors de l'Union Européenne, les risques que le critère ne soit pas satisfait doivent être évalués au niveau du pays (du fournisseur). Si le fournisseur est situé sur un territoire de l'Union Européenne et que la récolte a été effectuée sur un territoire en dehors de l'Union Européenne, une analyse des risques liés à un lieu de récolte et un fournisseur hors UE doit être effectuée :
</t>
    </r>
    <r>
      <rPr>
        <i/>
        <u/>
        <sz val="9"/>
        <rFont val="Arial"/>
        <family val="2"/>
      </rPr>
      <t>Analyse des risques liés à un lieu de récolte et un fournisseur hors UE :</t>
    </r>
    <r>
      <rPr>
        <i/>
        <sz val="9"/>
        <rFont val="Arial"/>
        <family val="2"/>
      </rPr>
      <t xml:space="preserve">
Le risque est considéré comme faible si l'ensemble des indicateurs sont satisfaits.
Le risque est considéré comme moyen si un des indicateurs n'est pas satisfaits.
Le risque est considéré comme fort si deux (ou plus) des indicateurs ne sont pas satisfaits.
</t>
    </r>
    <r>
      <rPr>
        <i/>
        <u/>
        <sz val="9"/>
        <rFont val="Arial"/>
        <family val="2"/>
      </rPr>
      <t>Analyse des risques liés à un fournisseur européen :</t>
    </r>
    <r>
      <rPr>
        <i/>
        <sz val="9"/>
        <rFont val="Arial"/>
        <family val="2"/>
      </rPr>
      <t xml:space="preserve">
Le risque correspond à celui qu'a évalué le fournisseur (obligation de mettre à disposition les documents attestant de la mise en œuvre d'un système de vérification de la légalité du bois). Si le risque évalué par le fournisseur est fort et qu'il a mis en oeuvre des mesures de réduction des risques pertinentes, le risque est considéré comme moyen. Le risque est considéré comme fort s'il ne met pas à disposition ou qu'il a mis en oeuvre des mesures de réduction du risque non pertinentes</t>
    </r>
  </si>
  <si>
    <r>
      <t xml:space="preserve">Vérification en fonction de l'essence, du pays de provenance et de la forme du produit (possibilité de faire la demande directement au service des douanes). Attention, certains produits sont interdits à l'importation </t>
    </r>
    <r>
      <rPr>
        <i/>
        <sz val="10"/>
        <color theme="1"/>
        <rFont val="Arial"/>
        <family val="2"/>
      </rPr>
      <t>(dans ce cas répondre oui à cette question et non à la suivante)</t>
    </r>
  </si>
  <si>
    <t>Dans le cas d'un contrôle phytosanitaire au point d'entrée sur le territoire européen, le produit doit etre accompagné d'un certificat phytosanitaire justifiant de son autorisation a circuler dans els Etats membres.</t>
  </si>
  <si>
    <t xml:space="preserve">Dans le cas d'un risque phytosanitaire sur certaines essences, provenances ou formes de produit, des fumigations peuvent etre pratiquées pour limiter le risque de présence de parasites. Les déchets de bois peuvent aussi avoir été traités au cours de leur cycle de vie. </t>
  </si>
  <si>
    <t>Vérification auprès de services techniques spécialisés pour vérifier les risques de toxicité liés a la combustion en fonction du produit chimique appliqué et du type de chaufferie.</t>
  </si>
  <si>
    <r>
      <rPr>
        <b/>
        <i/>
        <u/>
        <sz val="9"/>
        <color rgb="FF0070C0"/>
        <rFont val="Arial"/>
        <family val="2"/>
      </rPr>
      <t xml:space="preserve">Conditions d'évaluation du risque :
</t>
    </r>
    <r>
      <rPr>
        <i/>
        <sz val="9"/>
        <rFont val="Arial"/>
        <family val="2"/>
      </rPr>
      <t>Ce critère ne sera pas satisfait si le risque d'introduction de nuisibles et/ou le risque de nocivité liée à la combustion sont forts.</t>
    </r>
    <r>
      <rPr>
        <b/>
        <i/>
        <u/>
        <sz val="9"/>
        <color rgb="FF0070C0"/>
        <rFont val="Arial"/>
        <family val="2"/>
      </rPr>
      <t xml:space="preserve">
</t>
    </r>
    <r>
      <rPr>
        <i/>
        <sz val="9"/>
        <rFont val="Arial"/>
        <family val="2"/>
      </rPr>
      <t xml:space="preserve">Le risque d’introduction de parasites est considéré comme faible si le produit importé n’est pas soumis à inspection phytosanitaire ou, s’il l’est, il faut qu’il soit accompagné des documents justifiant qu’il a été dûment contrôlé et autorisé (certificat phytosanitaire).
Si le produit fait partie de la liste des essences/provenances interdites à l’importation le risque est inévitablement fort.
Le risque de nocivité de la combustion du produit importé est faible si le bois n’a pas été traité chimiquement ou si l’utilisateur a vérifié auprès d’un organisme spécialisé que la combustion ne présentait pas de risque pour l’environnement ou la santé humaine.
</t>
    </r>
  </si>
  <si>
    <r>
      <rPr>
        <b/>
        <i/>
        <u/>
        <sz val="9"/>
        <color rgb="FF0070C0"/>
        <rFont val="Arial"/>
        <family val="2"/>
      </rPr>
      <t>Conditions d'évaluation du risque :</t>
    </r>
    <r>
      <rPr>
        <i/>
        <sz val="9"/>
        <rFont val="Arial"/>
        <family val="2"/>
      </rPr>
      <t xml:space="preserve">
Le risque que le critère ne soit pas satisfait est considéré comme faible si le bois a été récolté sur le territoire de l'Union Européenne (notamment grâce aux garanties apportées par la politique agricole communautaire) ou s'il est couvert par un système de certification (ou une vérification tierce partie) crédible et prenant en compte la biodiversité.
Ainsi, il est nécessaire de vérifier que le système concerné prend en compte la biodiversité (cadre légal du pays de récolte, référentiel de certification, etc.).
Le risque peut également être considéré comme faible si le pays de récolte ne présente pas de risques que le bois soit issu de forêts primaires, zones affectées à la protection de la nature par la loi ou une personne publique, zones présentant de grandes valeurs en matière de biodiversité.
Dans les cas contraire, le risque est considéré comme fort.</t>
    </r>
  </si>
  <si>
    <t>Si le niveau de risque est avéré (moyen ou fort) :</t>
  </si>
  <si>
    <r>
      <t>Distance parcourue (km)</t>
    </r>
    <r>
      <rPr>
        <i/>
        <sz val="9"/>
        <rFont val="Arial"/>
        <family val="2"/>
      </rPr>
      <t xml:space="preserve">
Si le retour du camion se fait à vide, indiquer la distance aller-retour
</t>
    </r>
    <r>
      <rPr>
        <i/>
        <sz val="8"/>
        <rFont val="Arial"/>
        <family val="2"/>
      </rPr>
      <t>www.mappy.com</t>
    </r>
    <r>
      <rPr>
        <i/>
        <sz val="9"/>
        <rFont val="Arial"/>
        <family val="2"/>
      </rPr>
      <t xml:space="preserve"> 
</t>
    </r>
    <r>
      <rPr>
        <i/>
        <sz val="8"/>
        <rFont val="Arial"/>
        <family val="2"/>
      </rPr>
      <t>www.viamichelin.fr</t>
    </r>
  </si>
  <si>
    <r>
      <rPr>
        <b/>
        <i/>
        <u/>
        <sz val="9"/>
        <color rgb="FF0070C0"/>
        <rFont val="Arial"/>
        <family val="2"/>
      </rPr>
      <t>Conditions d'évaluation du risque :</t>
    </r>
    <r>
      <rPr>
        <i/>
        <sz val="9"/>
        <rFont val="Arial"/>
        <family val="2"/>
      </rPr>
      <t xml:space="preserve">
Rappel : le calcul des émissions du transport proposé ci-après ne permet pas de mesurer le potentiel de réduction des émissions du bois concerné. Il vise à apporter </t>
    </r>
    <r>
      <rPr>
        <b/>
        <i/>
        <sz val="9"/>
        <rFont val="Arial"/>
        <family val="2"/>
      </rPr>
      <t>un ordre de grandeur des émissions de carbone fossile générées par l'étape du transport</t>
    </r>
    <r>
      <rPr>
        <i/>
        <sz val="9"/>
        <rFont val="Arial"/>
        <family val="2"/>
      </rPr>
      <t>.</t>
    </r>
  </si>
  <si>
    <r>
      <rPr>
        <b/>
        <i/>
        <u/>
        <sz val="9"/>
        <color rgb="FF0070C0"/>
        <rFont val="Arial"/>
        <family val="2"/>
      </rPr>
      <t>Conditions d'évaluation du risque :</t>
    </r>
    <r>
      <rPr>
        <i/>
        <sz val="9"/>
        <rFont val="Arial"/>
        <family val="2"/>
      </rPr>
      <t xml:space="preserve">
Le risque est considéré comme faible si les produits sont couverts par un système de certification crédible et  justifiant d’un respect des droits civiques et traditionnels ou s'il n'y a aucune preuve de violation de la Convention 169 de l'OIT sur les peuples indigènes et tribaux ainsi que du travail des enfants ou de la violation des Principes Fondamentaux et des droits au travail de l'OIT, dans les zones forestières du pays concerné.</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</si>
</sst>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_-* #,##0\ _€_-;\-* #,##0\ _€_-;_-* &quot;-&quot;??\ _€_-;_-@_-"/>
    <numFmt numFmtId="166" formatCode="_-* #,##0.0\ _€_-;\-* #,##0.0\ _€_-;_-* &quot;-&quot;??\ _€_-;_-@_-"/>
    <numFmt numFmtId="167" formatCode="_-* #,##0.000\ _€_-;\-* #,##0.000\ _€_-;_-* &quot;-&quot;??\ _€_-;_-@_-"/>
    <numFmt numFmtId="168" formatCode="_-* #,##0.00000\ _€_-;\-* #,##0.00000\ _€_-;_-* &quot;-&quot;??\ _€_-;_-@_-"/>
    <numFmt numFmtId="169" formatCode="&quot;Edité le &quot;dd/mm/yyyy"/>
  </numFmts>
  <fonts count="131" x14ac:knownFonts="1">
    <font>
      <sz val="11"/>
      <color theme="1"/>
      <name val="Calibri"/>
      <family val="2"/>
      <scheme val="minor"/>
    </font>
    <font>
      <sz val="10"/>
      <name val="Arial"/>
      <family val="2"/>
    </font>
    <font>
      <b/>
      <sz val="8"/>
      <color indexed="8"/>
      <name val="Arial"/>
      <family val="2"/>
    </font>
    <font>
      <sz val="8"/>
      <color indexed="8"/>
      <name val="Arial"/>
      <family val="2"/>
    </font>
    <font>
      <vertAlign val="superscript"/>
      <sz val="8"/>
      <color indexed="8"/>
      <name val="Arial"/>
      <family val="2"/>
    </font>
    <font>
      <sz val="8"/>
      <name val="Arial"/>
      <family val="2"/>
    </font>
    <font>
      <sz val="9"/>
      <color indexed="81"/>
      <name val="Tahoma"/>
      <family val="2"/>
    </font>
    <font>
      <sz val="12"/>
      <name val="Arial"/>
      <family val="2"/>
    </font>
    <font>
      <i/>
      <sz val="11"/>
      <color indexed="8"/>
      <name val="Calibri"/>
      <family val="2"/>
    </font>
    <font>
      <b/>
      <sz val="12"/>
      <name val="Arial"/>
      <family val="2"/>
    </font>
    <font>
      <sz val="14"/>
      <name val="Arial"/>
      <family val="2"/>
    </font>
    <font>
      <b/>
      <sz val="14"/>
      <name val="Arial"/>
      <family val="2"/>
    </font>
    <font>
      <b/>
      <i/>
      <sz val="8"/>
      <color indexed="8"/>
      <name val="Arial"/>
      <family val="2"/>
    </font>
    <font>
      <i/>
      <sz val="8"/>
      <color indexed="8"/>
      <name val="Arial"/>
      <family val="2"/>
    </font>
    <font>
      <sz val="10"/>
      <color indexed="23"/>
      <name val="Arial"/>
      <family val="2"/>
    </font>
    <font>
      <sz val="11"/>
      <color indexed="8"/>
      <name val="Calibri"/>
      <family val="2"/>
    </font>
    <font>
      <b/>
      <sz val="11"/>
      <color indexed="63"/>
      <name val="Calibri"/>
      <family val="2"/>
    </font>
    <font>
      <b/>
      <sz val="11"/>
      <color indexed="8"/>
      <name val="Calibri"/>
      <family val="2"/>
    </font>
    <font>
      <b/>
      <sz val="11"/>
      <color indexed="9"/>
      <name val="Calibri"/>
      <family val="2"/>
    </font>
    <font>
      <i/>
      <sz val="10"/>
      <color indexed="8"/>
      <name val="Calibri"/>
      <family val="2"/>
    </font>
    <font>
      <i/>
      <sz val="11"/>
      <color indexed="8"/>
      <name val="Calibri"/>
      <family val="2"/>
    </font>
    <font>
      <b/>
      <sz val="11"/>
      <color indexed="10"/>
      <name val="Calibri"/>
      <family val="2"/>
    </font>
    <font>
      <sz val="10"/>
      <color indexed="8"/>
      <name val="Calibri"/>
      <family val="2"/>
    </font>
    <font>
      <sz val="9"/>
      <color indexed="8"/>
      <name val="Arial"/>
      <family val="2"/>
    </font>
    <font>
      <sz val="12"/>
      <color indexed="8"/>
      <name val="Calibri"/>
      <family val="2"/>
    </font>
    <font>
      <sz val="12"/>
      <name val="Calibri"/>
      <family val="2"/>
    </font>
    <font>
      <b/>
      <sz val="12"/>
      <name val="Calibri"/>
      <family val="2"/>
    </font>
    <font>
      <b/>
      <sz val="11"/>
      <name val="Calibri"/>
      <family val="2"/>
    </font>
    <font>
      <sz val="10"/>
      <name val="Calibri"/>
      <family val="2"/>
    </font>
    <font>
      <b/>
      <sz val="9"/>
      <color indexed="8"/>
      <name val="Arial"/>
      <family val="2"/>
    </font>
    <font>
      <b/>
      <i/>
      <sz val="11"/>
      <color indexed="8"/>
      <name val="Calibri"/>
      <family val="2"/>
    </font>
    <font>
      <sz val="11"/>
      <color indexed="23"/>
      <name val="Calibri"/>
      <family val="2"/>
    </font>
    <font>
      <sz val="8"/>
      <name val="Calibri"/>
      <family val="2"/>
    </font>
    <font>
      <sz val="8"/>
      <color indexed="8"/>
      <name val="Calibri"/>
      <family val="2"/>
    </font>
    <font>
      <b/>
      <sz val="8"/>
      <color indexed="52"/>
      <name val="Calibri"/>
      <family val="2"/>
    </font>
    <font>
      <b/>
      <sz val="8"/>
      <color indexed="63"/>
      <name val="Calibri"/>
      <family val="2"/>
    </font>
    <font>
      <b/>
      <sz val="12"/>
      <color indexed="8"/>
      <name val="Calibri"/>
      <family val="2"/>
    </font>
    <font>
      <b/>
      <sz val="8"/>
      <name val="Calibri"/>
      <family val="2"/>
    </font>
    <font>
      <sz val="8"/>
      <color indexed="63"/>
      <name val="Calibri"/>
      <family val="2"/>
    </font>
    <font>
      <sz val="10"/>
      <color indexed="8"/>
      <name val="Arial"/>
      <family val="2"/>
    </font>
    <font>
      <sz val="11"/>
      <color indexed="8"/>
      <name val="Arial"/>
      <family val="2"/>
    </font>
    <font>
      <b/>
      <sz val="10"/>
      <color indexed="8"/>
      <name val="Arial"/>
      <family val="2"/>
    </font>
    <font>
      <b/>
      <sz val="10"/>
      <color indexed="9"/>
      <name val="Arial"/>
      <family val="2"/>
    </font>
    <font>
      <u/>
      <sz val="8"/>
      <color indexed="12"/>
      <name val="Arial"/>
      <family val="2"/>
    </font>
    <font>
      <sz val="11"/>
      <color theme="0"/>
      <name val="Calibri"/>
      <family val="2"/>
      <scheme val="minor"/>
    </font>
    <font>
      <b/>
      <sz val="11"/>
      <color rgb="FFFA7D00"/>
      <name val="Calibri"/>
      <family val="2"/>
      <scheme val="minor"/>
    </font>
    <font>
      <sz val="11"/>
      <color rgb="FF9C0006"/>
      <name val="Calibri"/>
      <family val="2"/>
      <scheme val="minor"/>
    </font>
    <font>
      <u/>
      <sz val="11"/>
      <color theme="10"/>
      <name val="Calibri"/>
      <family val="2"/>
      <scheme val="minor"/>
    </font>
    <font>
      <b/>
      <sz val="11"/>
      <color rgb="FF3F3F3F"/>
      <name val="Calibri"/>
      <family val="2"/>
      <scheme val="minor"/>
    </font>
    <font>
      <i/>
      <sz val="10"/>
      <color theme="0"/>
      <name val="Arial"/>
      <family val="2"/>
    </font>
    <font>
      <b/>
      <i/>
      <sz val="11"/>
      <color indexed="9"/>
      <name val="Calibri"/>
      <family val="2"/>
    </font>
    <font>
      <b/>
      <sz val="18"/>
      <name val="Arial"/>
      <family val="2"/>
    </font>
    <font>
      <b/>
      <sz val="18"/>
      <color indexed="8"/>
      <name val="Arial"/>
      <family val="2"/>
    </font>
    <font>
      <sz val="14"/>
      <color indexed="8"/>
      <name val="Arial"/>
      <family val="2"/>
    </font>
    <font>
      <b/>
      <sz val="11"/>
      <color indexed="8"/>
      <name val="Arial"/>
      <family val="2"/>
    </font>
    <font>
      <sz val="11"/>
      <color rgb="FF000000"/>
      <name val="Arial"/>
      <family val="2"/>
    </font>
    <font>
      <b/>
      <sz val="11"/>
      <color rgb="FF000000"/>
      <name val="Arial"/>
      <family val="2"/>
    </font>
    <font>
      <sz val="12"/>
      <color indexed="8"/>
      <name val="Arial"/>
      <family val="2"/>
    </font>
    <font>
      <sz val="10"/>
      <color indexed="51"/>
      <name val="Arial"/>
      <family val="2"/>
    </font>
    <font>
      <sz val="18"/>
      <name val="Arial"/>
      <family val="2"/>
    </font>
    <font>
      <b/>
      <sz val="18"/>
      <color rgb="FFFF0000"/>
      <name val="Arial"/>
      <family val="2"/>
    </font>
    <font>
      <sz val="18"/>
      <color rgb="FFFF0000"/>
      <name val="Arial"/>
      <family val="2"/>
    </font>
    <font>
      <b/>
      <sz val="9"/>
      <name val="Arial"/>
      <family val="2"/>
    </font>
    <font>
      <sz val="9"/>
      <name val="Arial"/>
      <family val="2"/>
    </font>
    <font>
      <sz val="12"/>
      <color rgb="FFFF0000"/>
      <name val="Arial"/>
      <family val="2"/>
    </font>
    <font>
      <b/>
      <sz val="12"/>
      <color rgb="FFFF0000"/>
      <name val="Arial"/>
      <family val="2"/>
    </font>
    <font>
      <b/>
      <sz val="9"/>
      <color rgb="FFFF0000"/>
      <name val="Arial"/>
      <family val="2"/>
    </font>
    <font>
      <b/>
      <sz val="9"/>
      <color theme="1"/>
      <name val="Arial"/>
      <family val="2"/>
    </font>
    <font>
      <sz val="11"/>
      <name val="Arial"/>
      <family val="2"/>
    </font>
    <font>
      <b/>
      <sz val="10"/>
      <color rgb="FFFF0000"/>
      <name val="Arial"/>
      <family val="2"/>
    </font>
    <font>
      <sz val="11"/>
      <color theme="1"/>
      <name val="Arial"/>
      <family val="2"/>
    </font>
    <font>
      <i/>
      <sz val="11"/>
      <color indexed="8"/>
      <name val="Arial"/>
      <family val="2"/>
    </font>
    <font>
      <b/>
      <sz val="16"/>
      <name val="Arial"/>
      <family val="2"/>
    </font>
    <font>
      <sz val="9"/>
      <color theme="1"/>
      <name val="Arial"/>
      <family val="2"/>
    </font>
    <font>
      <i/>
      <sz val="9"/>
      <name val="Arial"/>
      <family val="2"/>
    </font>
    <font>
      <i/>
      <sz val="9"/>
      <color indexed="8"/>
      <name val="Arial"/>
      <family val="2"/>
    </font>
    <font>
      <b/>
      <i/>
      <sz val="9"/>
      <name val="Arial"/>
      <family val="2"/>
    </font>
    <font>
      <sz val="11"/>
      <color indexed="23"/>
      <name val="Arial"/>
      <family val="2"/>
    </font>
    <font>
      <b/>
      <sz val="8"/>
      <color indexed="52"/>
      <name val="Arial"/>
      <family val="2"/>
    </font>
    <font>
      <b/>
      <sz val="8"/>
      <color indexed="63"/>
      <name val="Arial"/>
      <family val="2"/>
    </font>
    <font>
      <b/>
      <sz val="8"/>
      <color indexed="10"/>
      <name val="Arial"/>
      <family val="2"/>
    </font>
    <font>
      <i/>
      <u/>
      <sz val="11"/>
      <name val="Arial"/>
      <family val="2"/>
    </font>
    <font>
      <i/>
      <sz val="8"/>
      <name val="Arial"/>
      <family val="2"/>
    </font>
    <font>
      <i/>
      <u/>
      <sz val="11"/>
      <color indexed="12"/>
      <name val="Arial"/>
      <family val="2"/>
    </font>
    <font>
      <sz val="16"/>
      <name val="Arial"/>
      <family val="2"/>
    </font>
    <font>
      <b/>
      <sz val="9"/>
      <color indexed="9"/>
      <name val="Arial"/>
      <family val="2"/>
    </font>
    <font>
      <b/>
      <sz val="9"/>
      <color theme="0"/>
      <name val="Arial"/>
      <family val="2"/>
    </font>
    <font>
      <i/>
      <u/>
      <sz val="9"/>
      <name val="Arial"/>
      <family val="2"/>
    </font>
    <font>
      <i/>
      <sz val="9"/>
      <color theme="1"/>
      <name val="Arial"/>
      <family val="2"/>
    </font>
    <font>
      <sz val="9"/>
      <color rgb="FF9C0006"/>
      <name val="Arial"/>
      <family val="2"/>
    </font>
    <font>
      <i/>
      <sz val="9"/>
      <color indexed="10"/>
      <name val="Arial"/>
      <family val="2"/>
    </font>
    <font>
      <b/>
      <i/>
      <sz val="11"/>
      <name val="Calibri"/>
      <family val="2"/>
    </font>
    <font>
      <sz val="9"/>
      <color indexed="23"/>
      <name val="Arial"/>
      <family val="2"/>
    </font>
    <font>
      <sz val="9"/>
      <color indexed="10"/>
      <name val="Arial"/>
      <family val="2"/>
    </font>
    <font>
      <b/>
      <sz val="14"/>
      <color theme="0"/>
      <name val="Arial"/>
      <family val="2"/>
    </font>
    <font>
      <i/>
      <sz val="11"/>
      <color theme="1"/>
      <name val="Calibri"/>
      <family val="2"/>
      <scheme val="minor"/>
    </font>
    <font>
      <i/>
      <sz val="8"/>
      <color indexed="63"/>
      <name val="Calibri"/>
      <family val="2"/>
    </font>
    <font>
      <b/>
      <i/>
      <sz val="8"/>
      <name val="Calibri"/>
      <family val="2"/>
    </font>
    <font>
      <i/>
      <sz val="16"/>
      <color indexed="9"/>
      <name val="Calibri"/>
      <family val="2"/>
    </font>
    <font>
      <b/>
      <i/>
      <u/>
      <sz val="9"/>
      <name val="Arial"/>
      <family val="2"/>
    </font>
    <font>
      <b/>
      <sz val="9"/>
      <color rgb="FF0070C0"/>
      <name val="Arial"/>
      <family val="2"/>
    </font>
    <font>
      <b/>
      <sz val="18"/>
      <color rgb="FF0070C0"/>
      <name val="Arial"/>
      <family val="2"/>
    </font>
    <font>
      <sz val="11"/>
      <color rgb="FF0070C0"/>
      <name val="Arial"/>
      <family val="2"/>
    </font>
    <font>
      <sz val="9"/>
      <color rgb="FF0070C0"/>
      <name val="Arial"/>
      <family val="2"/>
    </font>
    <font>
      <sz val="12"/>
      <color rgb="FF0070C0"/>
      <name val="Arial"/>
      <family val="2"/>
    </font>
    <font>
      <b/>
      <sz val="14"/>
      <color rgb="FF0070C0"/>
      <name val="Arial"/>
      <family val="2"/>
    </font>
    <font>
      <i/>
      <sz val="9"/>
      <color rgb="FF0070C0"/>
      <name val="Arial"/>
      <family val="2"/>
    </font>
    <font>
      <i/>
      <sz val="11"/>
      <color rgb="FF0070C0"/>
      <name val="Arial"/>
      <family val="2"/>
    </font>
    <font>
      <sz val="8"/>
      <color rgb="FFFF0000"/>
      <name val="Arial"/>
      <family val="2"/>
    </font>
    <font>
      <sz val="8"/>
      <color rgb="FF0070C0"/>
      <name val="Arial"/>
      <family val="2"/>
    </font>
    <font>
      <sz val="8"/>
      <color theme="1"/>
      <name val="Arial"/>
      <family val="2"/>
    </font>
    <font>
      <b/>
      <i/>
      <u/>
      <sz val="9"/>
      <color rgb="FF0070C0"/>
      <name val="Arial"/>
      <family val="2"/>
    </font>
    <font>
      <sz val="8"/>
      <color theme="1"/>
      <name val="Calibri"/>
      <family val="2"/>
      <scheme val="minor"/>
    </font>
    <font>
      <i/>
      <sz val="8"/>
      <name val="Calibri"/>
      <family val="2"/>
    </font>
    <font>
      <i/>
      <sz val="8"/>
      <color indexed="8"/>
      <name val="Calibri"/>
      <family val="2"/>
    </font>
    <font>
      <b/>
      <sz val="9"/>
      <name val="Wingdings 3"/>
      <family val="1"/>
      <charset val="2"/>
    </font>
    <font>
      <sz val="9"/>
      <color rgb="FF0070C0"/>
      <name val="Wingdings 3"/>
      <family val="1"/>
      <charset val="2"/>
    </font>
    <font>
      <b/>
      <sz val="11"/>
      <color rgb="FF0070C0"/>
      <name val="Arial"/>
      <family val="2"/>
    </font>
    <font>
      <i/>
      <u/>
      <sz val="8"/>
      <color rgb="FF0070C0"/>
      <name val="Arial"/>
      <family val="2"/>
    </font>
    <font>
      <sz val="9"/>
      <color theme="2" tint="-0.89999084444715716"/>
      <name val="Arial"/>
      <family val="2"/>
    </font>
    <font>
      <b/>
      <sz val="16"/>
      <color theme="1"/>
      <name val="Calibri"/>
      <family val="2"/>
      <scheme val="minor"/>
    </font>
    <font>
      <b/>
      <sz val="14"/>
      <color theme="1"/>
      <name val="Arial"/>
      <family val="2"/>
    </font>
    <font>
      <b/>
      <sz val="14"/>
      <color indexed="8"/>
      <name val="Arial"/>
      <family val="2"/>
    </font>
    <font>
      <b/>
      <sz val="8"/>
      <color theme="0"/>
      <name val="Arial"/>
      <family val="2"/>
    </font>
    <font>
      <b/>
      <vertAlign val="superscript"/>
      <sz val="8"/>
      <color theme="0"/>
      <name val="Arial"/>
      <family val="2"/>
    </font>
    <font>
      <sz val="10"/>
      <color rgb="FF0070C0"/>
      <name val="Arial"/>
      <family val="2"/>
    </font>
    <font>
      <u/>
      <sz val="11"/>
      <color indexed="12"/>
      <name val="Calibri"/>
      <family val="2"/>
      <scheme val="minor"/>
    </font>
    <font>
      <sz val="14"/>
      <color rgb="FF0070C0"/>
      <name val="Arial"/>
      <family val="2"/>
    </font>
    <font>
      <sz val="10"/>
      <color theme="1"/>
      <name val="Arial"/>
      <family val="2"/>
    </font>
    <font>
      <i/>
      <sz val="10"/>
      <color theme="1"/>
      <name val="Arial"/>
      <family val="2"/>
    </font>
    <font>
      <i/>
      <u/>
      <sz val="8"/>
      <name val="Arial"/>
      <family val="2"/>
    </font>
  </fonts>
  <fills count="16">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5" tint="0.39997558519241921"/>
        <bgColor indexed="65"/>
      </patternFill>
    </fill>
    <fill>
      <patternFill patternType="solid">
        <fgColor theme="5"/>
      </patternFill>
    </fill>
    <fill>
      <patternFill patternType="solid">
        <fgColor theme="6"/>
      </patternFill>
    </fill>
    <fill>
      <patternFill patternType="solid">
        <fgColor rgb="FFF2F2F2"/>
      </patternFill>
    </fill>
    <fill>
      <patternFill patternType="solid">
        <fgColor rgb="FFFFC7CE"/>
      </patternFill>
    </fill>
    <fill>
      <patternFill patternType="solid">
        <fgColor rgb="FFFFFF0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bottom style="thin">
        <color indexed="23"/>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70C0"/>
      </left>
      <right style="medium">
        <color rgb="FF0070C0"/>
      </right>
      <top style="medium">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bottom/>
      <diagonal/>
    </border>
  </borders>
  <cellStyleXfs count="11">
    <xf numFmtId="0" fontId="0" fillId="0" borderId="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5" fillId="10" borderId="18" applyNumberFormat="0" applyAlignment="0" applyProtection="0"/>
    <xf numFmtId="0" fontId="46" fillId="11" borderId="0" applyNumberFormat="0" applyBorder="0" applyAlignment="0" applyProtection="0"/>
    <xf numFmtId="0" fontId="47" fillId="0" borderId="0" applyNumberFormat="0" applyFill="0" applyBorder="0" applyAlignment="0" applyProtection="0"/>
    <xf numFmtId="43" fontId="15" fillId="0" borderId="0" applyFont="0" applyFill="0" applyBorder="0" applyAlignment="0" applyProtection="0"/>
    <xf numFmtId="0" fontId="1" fillId="0" borderId="0"/>
    <xf numFmtId="9" fontId="15" fillId="0" borderId="0" applyFont="0" applyFill="0" applyBorder="0" applyAlignment="0" applyProtection="0"/>
    <xf numFmtId="0" fontId="48" fillId="10" borderId="19" applyNumberFormat="0" applyAlignment="0" applyProtection="0"/>
  </cellStyleXfs>
  <cellXfs count="527">
    <xf numFmtId="0" fontId="0" fillId="0" borderId="0" xfId="0"/>
    <xf numFmtId="0" fontId="0" fillId="0" borderId="0" xfId="0" applyAlignment="1">
      <alignment horizontal="left" vertical="center" wrapText="1"/>
    </xf>
    <xf numFmtId="0" fontId="45" fillId="10" borderId="18" xfId="4"/>
    <xf numFmtId="0" fontId="48" fillId="10" borderId="19" xfId="10"/>
    <xf numFmtId="0" fontId="1" fillId="0" borderId="0" xfId="8"/>
    <xf numFmtId="49" fontId="3" fillId="0" borderId="1" xfId="8" applyNumberFormat="1" applyFont="1" applyBorder="1" applyAlignment="1"/>
    <xf numFmtId="1" fontId="3" fillId="0" borderId="1" xfId="8" applyNumberFormat="1" applyFont="1" applyBorder="1" applyAlignment="1">
      <alignment horizontal="right"/>
    </xf>
    <xf numFmtId="0" fontId="3" fillId="0" borderId="1" xfId="8" applyFont="1" applyBorder="1" applyAlignment="1">
      <alignment horizontal="right"/>
    </xf>
    <xf numFmtId="2" fontId="3" fillId="0" borderId="1" xfId="8" applyNumberFormat="1" applyFont="1" applyBorder="1" applyAlignment="1">
      <alignment horizontal="right"/>
    </xf>
    <xf numFmtId="49" fontId="3" fillId="0" borderId="1" xfId="8" applyNumberFormat="1" applyFont="1" applyBorder="1" applyAlignment="1">
      <alignment horizontal="right"/>
    </xf>
    <xf numFmtId="49" fontId="2" fillId="2" borderId="1" xfId="8" applyNumberFormat="1" applyFont="1" applyFill="1" applyBorder="1" applyAlignment="1"/>
    <xf numFmtId="1" fontId="2" fillId="2" borderId="1" xfId="8" applyNumberFormat="1" applyFont="1" applyFill="1" applyBorder="1" applyAlignment="1">
      <alignment horizontal="right"/>
    </xf>
    <xf numFmtId="0" fontId="2" fillId="2" borderId="1" xfId="8" applyFont="1" applyFill="1" applyBorder="1" applyAlignment="1">
      <alignment horizontal="right"/>
    </xf>
    <xf numFmtId="164" fontId="3" fillId="0" borderId="1" xfId="8" applyNumberFormat="1" applyFont="1" applyBorder="1" applyAlignment="1">
      <alignment horizontal="right"/>
    </xf>
    <xf numFmtId="49" fontId="3" fillId="0" borderId="1" xfId="8" applyNumberFormat="1" applyFont="1" applyFill="1" applyBorder="1" applyAlignment="1"/>
    <xf numFmtId="2" fontId="2" fillId="2" borderId="1" xfId="8" applyNumberFormat="1" applyFont="1" applyFill="1" applyBorder="1" applyAlignment="1">
      <alignment horizontal="right"/>
    </xf>
    <xf numFmtId="49" fontId="2" fillId="2" borderId="1" xfId="8" applyNumberFormat="1" applyFont="1" applyFill="1" applyBorder="1" applyAlignment="1">
      <alignment horizontal="right"/>
    </xf>
    <xf numFmtId="49" fontId="2" fillId="3" borderId="1" xfId="8" applyNumberFormat="1" applyFont="1" applyFill="1" applyBorder="1" applyAlignment="1"/>
    <xf numFmtId="1" fontId="2" fillId="3" borderId="1" xfId="8" applyNumberFormat="1" applyFont="1" applyFill="1" applyBorder="1" applyAlignment="1">
      <alignment horizontal="right"/>
    </xf>
    <xf numFmtId="2" fontId="2" fillId="3" borderId="1" xfId="8" applyNumberFormat="1" applyFont="1" applyFill="1" applyBorder="1" applyAlignment="1">
      <alignment horizontal="right"/>
    </xf>
    <xf numFmtId="0" fontId="2" fillId="3" borderId="1" xfId="8" applyFont="1" applyFill="1" applyBorder="1" applyAlignment="1">
      <alignment horizontal="right"/>
    </xf>
    <xf numFmtId="0" fontId="5" fillId="0" borderId="0" xfId="8" applyFont="1"/>
    <xf numFmtId="0" fontId="1" fillId="0" borderId="0" xfId="8" applyAlignment="1"/>
    <xf numFmtId="0" fontId="0" fillId="0" borderId="0" xfId="0" applyAlignment="1">
      <alignment vertical="center"/>
    </xf>
    <xf numFmtId="0" fontId="17"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indent="1"/>
    </xf>
    <xf numFmtId="0" fontId="48" fillId="10" borderId="19" xfId="10" applyAlignment="1">
      <alignment wrapText="1"/>
    </xf>
    <xf numFmtId="0" fontId="21" fillId="10" borderId="19" xfId="10" applyFont="1"/>
    <xf numFmtId="0" fontId="0" fillId="0" borderId="0" xfId="0" applyFill="1" applyAlignment="1">
      <alignment vertical="center" wrapText="1"/>
    </xf>
    <xf numFmtId="0" fontId="17" fillId="0" borderId="0" xfId="0" applyFont="1" applyFill="1" applyAlignment="1">
      <alignment vertical="center" wrapText="1"/>
    </xf>
    <xf numFmtId="0" fontId="0" fillId="0" borderId="0" xfId="0" applyAlignment="1">
      <alignment horizontal="center" vertical="center" wrapText="1"/>
    </xf>
    <xf numFmtId="0" fontId="0" fillId="0" borderId="0" xfId="0"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0" fillId="0" borderId="0" xfId="0" applyFill="1" applyAlignment="1">
      <alignment horizontal="left" vertical="center" wrapText="1" indent="1"/>
    </xf>
    <xf numFmtId="0" fontId="17" fillId="0" borderId="0" xfId="0" applyFont="1" applyBorder="1" applyAlignment="1">
      <alignment vertical="center" wrapText="1"/>
    </xf>
    <xf numFmtId="0" fontId="19" fillId="0" borderId="0" xfId="0" applyFont="1" applyBorder="1" applyAlignment="1">
      <alignment vertical="center" wrapText="1"/>
    </xf>
    <xf numFmtId="0" fontId="0" fillId="0" borderId="0" xfId="0" applyBorder="1" applyAlignment="1">
      <alignment horizontal="left" vertical="center" wrapText="1"/>
    </xf>
    <xf numFmtId="0" fontId="20" fillId="0" borderId="0" xfId="0" applyFont="1" applyBorder="1" applyAlignment="1">
      <alignment horizontal="left" vertical="top" wrapText="1"/>
    </xf>
    <xf numFmtId="0" fontId="0" fillId="0" borderId="0" xfId="0" applyAlignment="1">
      <alignment horizontal="left" vertical="center" wrapText="1" indent="15"/>
    </xf>
    <xf numFmtId="0" fontId="23" fillId="0" borderId="0" xfId="0" applyFont="1" applyBorder="1" applyAlignment="1">
      <alignment horizontal="left" vertical="center" wrapText="1"/>
    </xf>
    <xf numFmtId="0" fontId="22" fillId="4" borderId="0" xfId="0" applyFont="1" applyFill="1" applyBorder="1" applyAlignment="1">
      <alignment vertical="center" wrapText="1"/>
    </xf>
    <xf numFmtId="0" fontId="23" fillId="0" borderId="0" xfId="0" applyFont="1" applyFill="1" applyBorder="1" applyAlignment="1">
      <alignment horizontal="left" vertical="center" wrapText="1"/>
    </xf>
    <xf numFmtId="0" fontId="28" fillId="0" borderId="0" xfId="0" applyFont="1" applyFill="1" applyAlignment="1">
      <alignment horizontal="center" vertical="center" wrapText="1"/>
    </xf>
    <xf numFmtId="0" fontId="18" fillId="0" borderId="0" xfId="2" applyFont="1" applyFill="1" applyAlignment="1">
      <alignment horizontal="center" vertical="center"/>
    </xf>
    <xf numFmtId="0" fontId="0" fillId="0" borderId="0" xfId="0" applyFill="1" applyBorder="1" applyAlignment="1">
      <alignment horizontal="center" vertical="center" wrapText="1"/>
    </xf>
    <xf numFmtId="43" fontId="15" fillId="0" borderId="0" xfId="7" applyFont="1" applyFill="1" applyBorder="1" applyAlignment="1">
      <alignment horizontal="center" vertical="center" wrapText="1"/>
    </xf>
    <xf numFmtId="0" fontId="20" fillId="0" borderId="0" xfId="0" applyFont="1" applyAlignment="1">
      <alignment vertical="center" wrapText="1"/>
    </xf>
    <xf numFmtId="0" fontId="20" fillId="0" borderId="0" xfId="0" applyFont="1" applyFill="1" applyAlignment="1">
      <alignment vertical="center" wrapText="1"/>
    </xf>
    <xf numFmtId="0" fontId="22" fillId="0" borderId="0" xfId="0" applyFont="1" applyFill="1" applyBorder="1" applyAlignment="1">
      <alignment vertical="center" wrapText="1"/>
    </xf>
    <xf numFmtId="0" fontId="19" fillId="4" borderId="0" xfId="0" applyFont="1" applyFill="1" applyBorder="1" applyAlignment="1">
      <alignment vertical="center" wrapText="1"/>
    </xf>
    <xf numFmtId="0" fontId="30" fillId="0" borderId="0" xfId="0" applyFont="1" applyAlignment="1">
      <alignment vertical="center" wrapText="1"/>
    </xf>
    <xf numFmtId="0" fontId="30" fillId="0" borderId="0" xfId="0" applyFont="1" applyBorder="1" applyAlignment="1">
      <alignment vertical="center" wrapText="1"/>
    </xf>
    <xf numFmtId="0" fontId="19" fillId="0" borderId="0" xfId="0" applyFont="1" applyFill="1" applyBorder="1" applyAlignment="1">
      <alignment vertical="center" wrapText="1"/>
    </xf>
    <xf numFmtId="0" fontId="30" fillId="0" borderId="0" xfId="0" applyFont="1" applyFill="1" applyAlignment="1">
      <alignment vertical="center" wrapText="1"/>
    </xf>
    <xf numFmtId="0" fontId="17" fillId="4" borderId="0" xfId="0" applyFont="1" applyFill="1" applyBorder="1" applyAlignment="1">
      <alignment vertical="center" wrapText="1"/>
    </xf>
    <xf numFmtId="0" fontId="0" fillId="4" borderId="0" xfId="0" applyFill="1" applyAlignment="1">
      <alignment vertical="center" wrapText="1"/>
    </xf>
    <xf numFmtId="0" fontId="31" fillId="4" borderId="0" xfId="0" applyFont="1" applyFill="1" applyAlignment="1">
      <alignment horizontal="right" vertical="top"/>
    </xf>
    <xf numFmtId="0" fontId="20" fillId="4" borderId="0" xfId="0" applyFont="1" applyFill="1" applyAlignment="1">
      <alignment vertical="center" wrapText="1"/>
    </xf>
    <xf numFmtId="0" fontId="34" fillId="5" borderId="18" xfId="4" applyFont="1" applyFill="1" applyAlignment="1">
      <alignment vertical="top" wrapText="1"/>
    </xf>
    <xf numFmtId="0" fontId="0" fillId="0" borderId="0" xfId="0" applyFill="1" applyAlignment="1">
      <alignment vertical="top" wrapText="1"/>
    </xf>
    <xf numFmtId="0" fontId="35" fillId="5" borderId="19" xfId="10" applyFont="1" applyFill="1" applyAlignment="1">
      <alignment vertical="top"/>
    </xf>
    <xf numFmtId="0" fontId="26" fillId="0" borderId="0" xfId="0" applyFont="1" applyFill="1" applyBorder="1" applyAlignment="1">
      <alignment horizontal="left" vertical="top" wrapText="1"/>
    </xf>
    <xf numFmtId="0" fontId="26" fillId="0" borderId="0" xfId="0" applyFont="1" applyFill="1" applyBorder="1" applyAlignment="1">
      <alignment vertical="top" wrapText="1"/>
    </xf>
    <xf numFmtId="0" fontId="25" fillId="0" borderId="0" xfId="0" applyFont="1" applyFill="1" applyBorder="1" applyAlignment="1">
      <alignment horizontal="left" vertical="top"/>
    </xf>
    <xf numFmtId="0" fontId="25" fillId="0" borderId="0" xfId="0" applyFont="1" applyFill="1" applyBorder="1" applyAlignment="1">
      <alignment vertical="top"/>
    </xf>
    <xf numFmtId="0" fontId="24" fillId="0" borderId="0" xfId="0" applyFont="1" applyFill="1" applyBorder="1" applyAlignment="1">
      <alignment horizontal="left" vertical="top"/>
    </xf>
    <xf numFmtId="0" fontId="24" fillId="0" borderId="0" xfId="0" applyFont="1" applyFill="1" applyBorder="1" applyAlignment="1">
      <alignment vertical="top"/>
    </xf>
    <xf numFmtId="0" fontId="26" fillId="0" borderId="0" xfId="0" applyFont="1" applyFill="1" applyBorder="1" applyAlignment="1">
      <alignment horizontal="left" vertical="top"/>
    </xf>
    <xf numFmtId="0" fontId="26" fillId="0" borderId="0" xfId="0" applyFont="1" applyFill="1" applyBorder="1" applyAlignment="1">
      <alignment vertical="top"/>
    </xf>
    <xf numFmtId="0" fontId="27" fillId="0" borderId="0" xfId="0" applyFont="1" applyFill="1" applyBorder="1" applyAlignment="1">
      <alignment vertical="top"/>
    </xf>
    <xf numFmtId="0" fontId="0" fillId="0" borderId="0" xfId="0" applyFill="1" applyBorder="1" applyAlignment="1">
      <alignment vertical="top"/>
    </xf>
    <xf numFmtId="0" fontId="36" fillId="0" borderId="0" xfId="0" applyFont="1" applyFill="1" applyBorder="1" applyAlignment="1">
      <alignment horizontal="left" vertical="top"/>
    </xf>
    <xf numFmtId="0" fontId="36" fillId="0" borderId="0" xfId="0" applyFont="1" applyFill="1" applyBorder="1" applyAlignment="1">
      <alignment vertical="top"/>
    </xf>
    <xf numFmtId="0" fontId="27" fillId="5" borderId="18" xfId="4" applyFont="1" applyFill="1"/>
    <xf numFmtId="0" fontId="0" fillId="4" borderId="0" xfId="0" applyFill="1" applyAlignment="1">
      <alignment horizontal="left" vertical="center" wrapText="1" indent="1"/>
    </xf>
    <xf numFmtId="0" fontId="30" fillId="4" borderId="0" xfId="0" applyFont="1" applyFill="1" applyBorder="1" applyAlignment="1">
      <alignment vertical="center" wrapText="1"/>
    </xf>
    <xf numFmtId="0" fontId="0" fillId="0" borderId="0" xfId="0" applyFill="1" applyAlignment="1">
      <alignment vertical="center"/>
    </xf>
    <xf numFmtId="0" fontId="17" fillId="0" borderId="0" xfId="0" applyFont="1" applyFill="1" applyAlignment="1">
      <alignment vertical="center"/>
    </xf>
    <xf numFmtId="0" fontId="20" fillId="0" borderId="0" xfId="0" applyFont="1" applyFill="1" applyAlignment="1">
      <alignment vertical="center"/>
    </xf>
    <xf numFmtId="0" fontId="32" fillId="0" borderId="0" xfId="0" applyFont="1" applyFill="1" applyAlignment="1">
      <alignment horizontal="left" vertical="center"/>
    </xf>
    <xf numFmtId="0" fontId="33" fillId="0" borderId="0" xfId="0" applyFont="1" applyFill="1" applyAlignment="1">
      <alignment vertical="center"/>
    </xf>
    <xf numFmtId="0" fontId="19" fillId="0" borderId="0" xfId="0" applyFont="1" applyAlignment="1">
      <alignment horizontal="left" vertical="top" wrapText="1"/>
    </xf>
    <xf numFmtId="0" fontId="37" fillId="5" borderId="18" xfId="4" applyFont="1" applyFill="1" applyAlignment="1">
      <alignment vertical="top" wrapText="1"/>
    </xf>
    <xf numFmtId="0" fontId="38" fillId="5" borderId="19" xfId="10" applyFont="1" applyFill="1" applyAlignment="1">
      <alignment vertical="top"/>
    </xf>
    <xf numFmtId="0" fontId="9" fillId="5" borderId="7" xfId="8" applyFont="1" applyFill="1" applyBorder="1" applyAlignment="1">
      <alignment vertical="top" wrapText="1"/>
    </xf>
    <xf numFmtId="0" fontId="9" fillId="5" borderId="10" xfId="8" applyFont="1" applyFill="1" applyBorder="1" applyAlignment="1">
      <alignment vertical="top" wrapText="1"/>
    </xf>
    <xf numFmtId="0" fontId="9" fillId="5" borderId="10" xfId="8" applyFont="1" applyFill="1" applyBorder="1" applyAlignment="1">
      <alignment horizontal="center" vertical="top" wrapText="1"/>
    </xf>
    <xf numFmtId="0" fontId="9" fillId="5" borderId="8" xfId="8" applyFont="1" applyFill="1" applyBorder="1" applyAlignment="1">
      <alignment vertical="top" wrapText="1"/>
    </xf>
    <xf numFmtId="0" fontId="7" fillId="5" borderId="11" xfId="8" applyFont="1" applyFill="1" applyBorder="1" applyAlignment="1">
      <alignment vertical="top"/>
    </xf>
    <xf numFmtId="0" fontId="7" fillId="5" borderId="1" xfId="8" applyFont="1" applyFill="1" applyBorder="1" applyAlignment="1">
      <alignment vertical="top"/>
    </xf>
    <xf numFmtId="0" fontId="7" fillId="5" borderId="1" xfId="8" applyFont="1" applyFill="1" applyBorder="1" applyAlignment="1">
      <alignment horizontal="center" vertical="top"/>
    </xf>
    <xf numFmtId="0" fontId="7" fillId="5" borderId="12" xfId="8" applyFont="1" applyFill="1" applyBorder="1" applyAlignment="1">
      <alignment vertical="top"/>
    </xf>
    <xf numFmtId="0" fontId="7" fillId="5" borderId="5" xfId="8" applyFont="1" applyFill="1" applyBorder="1" applyAlignment="1">
      <alignment vertical="top"/>
    </xf>
    <xf numFmtId="0" fontId="7" fillId="5" borderId="13" xfId="8" applyFont="1" applyFill="1" applyBorder="1" applyAlignment="1">
      <alignment vertical="top"/>
    </xf>
    <xf numFmtId="0" fontId="7" fillId="5" borderId="13" xfId="8" applyFont="1" applyFill="1" applyBorder="1" applyAlignment="1">
      <alignment horizontal="center" vertical="top"/>
    </xf>
    <xf numFmtId="0" fontId="7" fillId="5" borderId="3" xfId="8" applyFont="1" applyFill="1" applyBorder="1" applyAlignment="1">
      <alignment vertical="top"/>
    </xf>
    <xf numFmtId="0" fontId="24" fillId="5" borderId="1" xfId="0" applyFont="1" applyFill="1" applyBorder="1" applyAlignment="1">
      <alignment vertical="top"/>
    </xf>
    <xf numFmtId="0" fontId="24" fillId="5" borderId="1" xfId="0" applyNumberFormat="1" applyFont="1" applyFill="1" applyBorder="1" applyAlignment="1">
      <alignment vertical="top"/>
    </xf>
    <xf numFmtId="0" fontId="10" fillId="5" borderId="1" xfId="8" applyFont="1" applyFill="1" applyBorder="1" applyAlignment="1">
      <alignment vertical="top"/>
    </xf>
    <xf numFmtId="0" fontId="1" fillId="0" borderId="0" xfId="8" applyFill="1"/>
    <xf numFmtId="49" fontId="12" fillId="5" borderId="1" xfId="8" applyNumberFormat="1" applyFont="1" applyFill="1" applyBorder="1" applyAlignment="1">
      <alignment horizontal="left"/>
    </xf>
    <xf numFmtId="1" fontId="12" fillId="5" borderId="1" xfId="8" applyNumberFormat="1" applyFont="1" applyFill="1" applyBorder="1" applyAlignment="1">
      <alignment horizontal="center"/>
    </xf>
    <xf numFmtId="49" fontId="12" fillId="5" borderId="1" xfId="8" applyNumberFormat="1" applyFont="1" applyFill="1" applyBorder="1" applyAlignment="1">
      <alignment horizontal="center" wrapText="1"/>
    </xf>
    <xf numFmtId="49" fontId="12" fillId="5" borderId="1" xfId="8" applyNumberFormat="1" applyFont="1" applyFill="1" applyBorder="1" applyAlignment="1">
      <alignment horizontal="center"/>
    </xf>
    <xf numFmtId="1" fontId="13" fillId="5" borderId="1" xfId="8" applyNumberFormat="1" applyFont="1" applyFill="1" applyBorder="1" applyAlignment="1">
      <alignment horizontal="right"/>
    </xf>
    <xf numFmtId="0" fontId="13" fillId="5" borderId="1" xfId="8" applyFont="1" applyFill="1" applyBorder="1" applyAlignment="1">
      <alignment horizontal="right"/>
    </xf>
    <xf numFmtId="0" fontId="39" fillId="0" borderId="0" xfId="0" applyFont="1" applyAlignment="1">
      <alignment horizontal="left" vertical="center"/>
    </xf>
    <xf numFmtId="0" fontId="40" fillId="0" borderId="0" xfId="0" applyFont="1"/>
    <xf numFmtId="0" fontId="39" fillId="4" borderId="0" xfId="0" applyFont="1" applyFill="1" applyAlignment="1">
      <alignment vertical="top"/>
    </xf>
    <xf numFmtId="0" fontId="39" fillId="4" borderId="0" xfId="0" applyFont="1" applyFill="1" applyAlignment="1">
      <alignment vertical="center" wrapText="1"/>
    </xf>
    <xf numFmtId="0" fontId="41" fillId="4" borderId="0" xfId="0" applyFont="1" applyFill="1" applyAlignment="1">
      <alignment vertical="top"/>
    </xf>
    <xf numFmtId="0" fontId="7" fillId="5" borderId="12" xfId="8" applyFont="1" applyFill="1" applyBorder="1" applyAlignment="1">
      <alignment vertical="top" wrapText="1"/>
    </xf>
    <xf numFmtId="0" fontId="7" fillId="0" borderId="0" xfId="8" applyFont="1" applyFill="1" applyAlignment="1">
      <alignment vertical="top"/>
    </xf>
    <xf numFmtId="0" fontId="39" fillId="0" borderId="0" xfId="0" applyFont="1" applyAlignment="1">
      <alignment horizontal="center" vertical="center"/>
    </xf>
    <xf numFmtId="43" fontId="39" fillId="0" borderId="0" xfId="7" applyFont="1" applyAlignment="1">
      <alignment horizontal="left" vertical="center"/>
    </xf>
    <xf numFmtId="0" fontId="16" fillId="10" borderId="19" xfId="10" applyFont="1"/>
    <xf numFmtId="0" fontId="8" fillId="0" borderId="0" xfId="0" applyFont="1" applyBorder="1" applyAlignment="1">
      <alignment vertical="top" wrapText="1"/>
    </xf>
    <xf numFmtId="0" fontId="24" fillId="5" borderId="11" xfId="0" applyFont="1" applyFill="1" applyBorder="1" applyAlignment="1">
      <alignment vertical="top"/>
    </xf>
    <xf numFmtId="0" fontId="24" fillId="5" borderId="12" xfId="0" applyFont="1" applyFill="1" applyBorder="1" applyAlignment="1">
      <alignment horizontal="left" vertical="top"/>
    </xf>
    <xf numFmtId="0" fontId="26" fillId="5" borderId="7" xfId="0" applyFont="1" applyFill="1" applyBorder="1" applyAlignment="1">
      <alignment vertical="top" wrapText="1"/>
    </xf>
    <xf numFmtId="0" fontId="26" fillId="5" borderId="10" xfId="0" applyFont="1" applyFill="1" applyBorder="1" applyAlignment="1">
      <alignment vertical="top" wrapText="1"/>
    </xf>
    <xf numFmtId="0" fontId="26" fillId="5" borderId="8" xfId="0" applyFont="1" applyFill="1" applyBorder="1" applyAlignment="1">
      <alignment horizontal="left" vertical="top" wrapText="1"/>
    </xf>
    <xf numFmtId="0" fontId="24" fillId="5" borderId="5" xfId="0" applyFont="1" applyFill="1" applyBorder="1" applyAlignment="1">
      <alignment vertical="top"/>
    </xf>
    <xf numFmtId="0" fontId="24" fillId="5" borderId="13" xfId="0" applyFont="1" applyFill="1" applyBorder="1" applyAlignment="1">
      <alignment vertical="top"/>
    </xf>
    <xf numFmtId="0" fontId="24" fillId="5" borderId="13" xfId="0" applyNumberFormat="1" applyFont="1" applyFill="1" applyBorder="1" applyAlignment="1">
      <alignment vertical="top"/>
    </xf>
    <xf numFmtId="0" fontId="24" fillId="5" borderId="3" xfId="0" applyFont="1" applyFill="1" applyBorder="1" applyAlignment="1">
      <alignment horizontal="left" vertical="top"/>
    </xf>
    <xf numFmtId="0" fontId="10" fillId="5" borderId="11" xfId="8" applyFont="1" applyFill="1" applyBorder="1" applyAlignment="1">
      <alignment vertical="top"/>
    </xf>
    <xf numFmtId="0" fontId="10" fillId="5" borderId="12" xfId="8" applyFont="1" applyFill="1" applyBorder="1" applyAlignment="1">
      <alignment vertical="top"/>
    </xf>
    <xf numFmtId="0" fontId="11" fillId="5" borderId="7" xfId="8" applyFont="1" applyFill="1" applyBorder="1" applyAlignment="1">
      <alignment vertical="top"/>
    </xf>
    <xf numFmtId="0" fontId="11" fillId="5" borderId="10" xfId="8" applyFont="1" applyFill="1" applyBorder="1" applyAlignment="1">
      <alignment vertical="top"/>
    </xf>
    <xf numFmtId="0" fontId="11" fillId="5" borderId="8" xfId="8" applyFont="1" applyFill="1" applyBorder="1" applyAlignment="1">
      <alignment vertical="top"/>
    </xf>
    <xf numFmtId="0" fontId="10" fillId="5" borderId="5" xfId="8" applyFont="1" applyFill="1" applyBorder="1" applyAlignment="1">
      <alignment vertical="top"/>
    </xf>
    <xf numFmtId="0" fontId="10" fillId="5" borderId="13" xfId="8" applyFont="1" applyFill="1" applyBorder="1" applyAlignment="1">
      <alignment vertical="top"/>
    </xf>
    <xf numFmtId="0" fontId="10" fillId="5" borderId="3" xfId="8" applyFont="1" applyFill="1" applyBorder="1" applyAlignment="1">
      <alignment vertical="top"/>
    </xf>
    <xf numFmtId="0" fontId="40" fillId="0" borderId="0" xfId="0" applyFont="1" applyAlignment="1">
      <alignment wrapText="1"/>
    </xf>
    <xf numFmtId="0" fontId="23" fillId="0" borderId="0" xfId="0" applyFont="1" applyAlignment="1">
      <alignment horizontal="left" vertical="center" wrapText="1"/>
    </xf>
    <xf numFmtId="0" fontId="23" fillId="0" borderId="0" xfId="0" applyFont="1" applyFill="1" applyBorder="1" applyAlignment="1">
      <alignment vertical="center" wrapText="1"/>
    </xf>
    <xf numFmtId="0" fontId="11" fillId="5" borderId="12" xfId="8" applyFont="1" applyFill="1" applyBorder="1" applyAlignment="1">
      <alignment vertical="top"/>
    </xf>
    <xf numFmtId="0" fontId="49" fillId="0" borderId="0" xfId="0" applyFont="1" applyAlignment="1">
      <alignment horizontal="center" vertical="center"/>
    </xf>
    <xf numFmtId="0" fontId="20" fillId="0" borderId="0" xfId="0" applyFont="1" applyAlignment="1">
      <alignment horizontal="left" vertical="top" wrapText="1"/>
    </xf>
    <xf numFmtId="0" fontId="39" fillId="6" borderId="2" xfId="0" applyFont="1" applyFill="1" applyBorder="1" applyAlignment="1" applyProtection="1">
      <alignment horizontal="left" vertical="top"/>
      <protection locked="0"/>
    </xf>
    <xf numFmtId="0" fontId="39" fillId="6" borderId="2" xfId="0" applyFont="1" applyFill="1" applyBorder="1" applyAlignment="1" applyProtection="1">
      <alignment vertical="top"/>
      <protection locked="0"/>
    </xf>
    <xf numFmtId="0" fontId="52" fillId="0" borderId="0" xfId="0" applyFont="1" applyAlignment="1">
      <alignment horizontal="center" wrapText="1"/>
    </xf>
    <xf numFmtId="0" fontId="53" fillId="0" borderId="0" xfId="0" applyFont="1" applyAlignment="1">
      <alignment horizontal="center" wrapText="1"/>
    </xf>
    <xf numFmtId="0" fontId="40" fillId="0" borderId="0" xfId="0" applyFont="1" applyAlignment="1">
      <alignment horizontal="center" wrapText="1"/>
    </xf>
    <xf numFmtId="0" fontId="55" fillId="0" borderId="0" xfId="0" applyFont="1" applyAlignment="1">
      <alignment horizontal="center" vertical="center" wrapText="1"/>
    </xf>
    <xf numFmtId="0" fontId="56" fillId="0" borderId="0" xfId="0" applyFont="1" applyAlignment="1">
      <alignment horizontal="center" wrapText="1"/>
    </xf>
    <xf numFmtId="0" fontId="14" fillId="4" borderId="0" xfId="0" applyFont="1" applyFill="1" applyAlignment="1">
      <alignment horizontal="right"/>
    </xf>
    <xf numFmtId="0" fontId="14" fillId="4" borderId="0" xfId="0" applyFont="1" applyFill="1" applyAlignment="1">
      <alignment horizontal="right" vertical="top"/>
    </xf>
    <xf numFmtId="0" fontId="58" fillId="4" borderId="0" xfId="0" applyFont="1" applyFill="1" applyAlignment="1">
      <alignment horizontal="center" vertical="top"/>
    </xf>
    <xf numFmtId="0" fontId="60" fillId="0" borderId="0" xfId="2" applyFont="1" applyFill="1" applyBorder="1" applyAlignment="1">
      <alignment vertical="center" wrapText="1"/>
    </xf>
    <xf numFmtId="0" fontId="60" fillId="0" borderId="0" xfId="2" applyFont="1" applyFill="1" applyBorder="1" applyAlignment="1">
      <alignment horizontal="left" vertical="center" wrapText="1"/>
    </xf>
    <xf numFmtId="0" fontId="61" fillId="0" borderId="0" xfId="0" applyFont="1" applyFill="1" applyAlignment="1">
      <alignment vertical="top"/>
    </xf>
    <xf numFmtId="0" fontId="63" fillId="0" borderId="0" xfId="0" applyFont="1" applyFill="1" applyAlignment="1">
      <alignment horizontal="left" vertical="top" wrapText="1"/>
    </xf>
    <xf numFmtId="0" fontId="65" fillId="0" borderId="0" xfId="2" applyFont="1" applyFill="1" applyBorder="1" applyAlignment="1">
      <alignment horizontal="left" vertical="center" wrapText="1"/>
    </xf>
    <xf numFmtId="0" fontId="64" fillId="0" borderId="0" xfId="0" applyFont="1" applyFill="1" applyBorder="1" applyAlignment="1">
      <alignment vertical="top"/>
    </xf>
    <xf numFmtId="0" fontId="67" fillId="4" borderId="0" xfId="0" applyFont="1" applyFill="1" applyAlignment="1">
      <alignment vertical="top"/>
    </xf>
    <xf numFmtId="0" fontId="39" fillId="4" borderId="0" xfId="0" applyFont="1" applyFill="1" applyBorder="1" applyAlignment="1">
      <alignment vertical="top"/>
    </xf>
    <xf numFmtId="0" fontId="63" fillId="0" borderId="0" xfId="0" applyFont="1" applyFill="1" applyBorder="1" applyAlignment="1">
      <alignment horizontal="left" vertical="top" wrapText="1"/>
    </xf>
    <xf numFmtId="0" fontId="11" fillId="0" borderId="0" xfId="2" applyFont="1" applyFill="1" applyBorder="1" applyAlignment="1">
      <alignment vertical="center" wrapText="1"/>
    </xf>
    <xf numFmtId="0" fontId="11" fillId="0" borderId="0" xfId="2" applyFont="1" applyFill="1" applyBorder="1" applyAlignment="1">
      <alignment horizontal="center" vertical="center" wrapText="1"/>
    </xf>
    <xf numFmtId="0" fontId="40" fillId="0" borderId="0" xfId="0" applyFont="1" applyAlignment="1" applyProtection="1">
      <alignment wrapText="1"/>
      <protection locked="0"/>
    </xf>
    <xf numFmtId="0" fontId="40" fillId="0" borderId="0" xfId="0" applyFont="1" applyProtection="1">
      <protection locked="0"/>
    </xf>
    <xf numFmtId="0" fontId="43" fillId="4" borderId="0" xfId="6" applyFont="1" applyFill="1" applyAlignment="1" applyProtection="1">
      <alignment vertical="top"/>
      <protection locked="0"/>
    </xf>
    <xf numFmtId="0" fontId="71" fillId="0" borderId="0" xfId="0" applyFont="1" applyBorder="1" applyAlignment="1">
      <alignment vertical="top" wrapText="1"/>
    </xf>
    <xf numFmtId="0" fontId="74" fillId="4" borderId="0" xfId="2" applyFont="1" applyFill="1" applyBorder="1" applyAlignment="1">
      <alignment horizontal="left" vertical="center" wrapText="1"/>
    </xf>
    <xf numFmtId="0" fontId="62" fillId="4" borderId="0" xfId="2" applyFont="1" applyFill="1" applyBorder="1" applyAlignment="1">
      <alignment horizontal="left" vertical="center" wrapText="1"/>
    </xf>
    <xf numFmtId="0" fontId="23" fillId="0" borderId="0" xfId="0" applyFont="1" applyBorder="1" applyAlignment="1">
      <alignment vertical="top" wrapText="1"/>
    </xf>
    <xf numFmtId="0" fontId="62" fillId="0" borderId="0" xfId="2" applyFont="1" applyFill="1" applyBorder="1" applyAlignment="1">
      <alignment horizontal="left" vertical="top" wrapText="1"/>
    </xf>
    <xf numFmtId="0" fontId="11" fillId="0" borderId="0" xfId="2" applyFont="1" applyFill="1" applyBorder="1" applyAlignment="1">
      <alignment horizontal="center" vertical="top" wrapText="1"/>
    </xf>
    <xf numFmtId="0" fontId="63" fillId="0" borderId="0" xfId="3" applyFont="1" applyFill="1" applyBorder="1" applyAlignment="1">
      <alignment horizontal="left" vertical="top" wrapText="1"/>
    </xf>
    <xf numFmtId="0" fontId="57" fillId="0" borderId="0" xfId="0" applyFont="1" applyFill="1" applyBorder="1" applyAlignment="1" applyProtection="1">
      <alignment horizontal="left" vertical="top" wrapText="1"/>
      <protection locked="0"/>
    </xf>
    <xf numFmtId="0" fontId="70" fillId="0" borderId="0" xfId="0" applyFont="1" applyFill="1" applyBorder="1" applyAlignment="1" applyProtection="1">
      <alignment horizontal="left" vertical="top" wrapText="1"/>
      <protection locked="0"/>
    </xf>
    <xf numFmtId="0" fontId="70" fillId="0" borderId="0" xfId="0" applyFont="1" applyBorder="1" applyAlignment="1" applyProtection="1">
      <alignment vertical="top"/>
    </xf>
    <xf numFmtId="0" fontId="70" fillId="0" borderId="0" xfId="0" applyFont="1" applyFill="1" applyBorder="1" applyAlignment="1" applyProtection="1">
      <alignment horizontal="left" vertical="top"/>
    </xf>
    <xf numFmtId="0" fontId="70" fillId="0" borderId="0" xfId="0" applyFont="1" applyFill="1" applyBorder="1" applyAlignment="1" applyProtection="1">
      <alignment horizontal="left" vertical="top" wrapText="1"/>
    </xf>
    <xf numFmtId="0" fontId="61" fillId="0" borderId="0" xfId="0" applyFont="1" applyFill="1" applyAlignment="1" applyProtection="1">
      <alignment vertical="top"/>
    </xf>
    <xf numFmtId="0" fontId="60" fillId="0" borderId="0" xfId="2" applyFont="1" applyFill="1" applyBorder="1" applyAlignment="1" applyProtection="1">
      <alignment horizontal="left" vertical="top" wrapText="1"/>
    </xf>
    <xf numFmtId="0" fontId="57" fillId="0" borderId="0" xfId="0" applyFont="1" applyBorder="1" applyAlignment="1" applyProtection="1">
      <alignment vertical="top"/>
    </xf>
    <xf numFmtId="0" fontId="9" fillId="0" borderId="0" xfId="2" applyFont="1" applyFill="1" applyBorder="1" applyAlignment="1" applyProtection="1">
      <alignment horizontal="left" vertical="top" wrapText="1"/>
    </xf>
    <xf numFmtId="0" fontId="71" fillId="0" borderId="0" xfId="0" applyFont="1" applyBorder="1" applyAlignment="1" applyProtection="1">
      <alignment vertical="top" wrapText="1"/>
    </xf>
    <xf numFmtId="0" fontId="73" fillId="4" borderId="0" xfId="0" applyFont="1" applyFill="1" applyBorder="1" applyAlignment="1" applyProtection="1">
      <alignment vertical="top"/>
    </xf>
    <xf numFmtId="0" fontId="23" fillId="4" borderId="0" xfId="0" applyFont="1" applyFill="1" applyBorder="1" applyAlignment="1" applyProtection="1">
      <alignment horizontal="left" vertical="top"/>
    </xf>
    <xf numFmtId="0" fontId="23" fillId="4" borderId="0" xfId="0" applyFont="1" applyFill="1" applyBorder="1" applyAlignment="1" applyProtection="1">
      <alignment vertical="top"/>
    </xf>
    <xf numFmtId="0" fontId="63" fillId="4" borderId="0" xfId="0" applyFont="1" applyFill="1" applyBorder="1" applyAlignment="1" applyProtection="1">
      <alignment vertical="top"/>
    </xf>
    <xf numFmtId="0" fontId="62" fillId="0" borderId="0" xfId="2" applyFont="1" applyFill="1" applyBorder="1" applyAlignment="1" applyProtection="1">
      <alignment horizontal="left" vertical="top" wrapText="1"/>
    </xf>
    <xf numFmtId="0" fontId="57" fillId="0" borderId="0" xfId="0" applyFont="1" applyFill="1" applyBorder="1" applyAlignment="1" applyProtection="1">
      <alignment horizontal="left" vertical="top"/>
    </xf>
    <xf numFmtId="0" fontId="57" fillId="0" borderId="0" xfId="0" applyFont="1" applyFill="1" applyBorder="1" applyAlignment="1" applyProtection="1">
      <alignment vertical="top"/>
    </xf>
    <xf numFmtId="0" fontId="70" fillId="0" borderId="0" xfId="0" applyFont="1" applyAlignment="1">
      <alignment vertical="center" wrapText="1"/>
    </xf>
    <xf numFmtId="0" fontId="70" fillId="0" borderId="0" xfId="0" applyFont="1" applyFill="1" applyAlignment="1">
      <alignment vertical="center" wrapText="1"/>
    </xf>
    <xf numFmtId="0" fontId="5" fillId="4" borderId="0" xfId="3" applyFont="1" applyFill="1" applyAlignment="1">
      <alignment horizontal="center" vertical="center" wrapText="1"/>
    </xf>
    <xf numFmtId="0" fontId="5" fillId="0" borderId="0" xfId="0" applyFont="1" applyFill="1" applyAlignment="1">
      <alignment horizontal="center" vertical="center" wrapText="1"/>
    </xf>
    <xf numFmtId="0" fontId="3" fillId="0" borderId="0" xfId="0" applyFont="1" applyFill="1" applyAlignment="1">
      <alignment vertical="center" wrapText="1"/>
    </xf>
    <xf numFmtId="0" fontId="5" fillId="4" borderId="0" xfId="0" applyFont="1" applyFill="1" applyAlignment="1">
      <alignment horizontal="center" vertical="center" wrapText="1"/>
    </xf>
    <xf numFmtId="0" fontId="54" fillId="0" borderId="0" xfId="0" applyFont="1" applyAlignment="1">
      <alignment vertical="center" wrapText="1"/>
    </xf>
    <xf numFmtId="0" fontId="54" fillId="0" borderId="0" xfId="0" applyFont="1" applyFill="1" applyAlignment="1">
      <alignment vertical="center" wrapText="1"/>
    </xf>
    <xf numFmtId="0" fontId="71" fillId="0" borderId="0" xfId="0" applyFont="1" applyAlignment="1">
      <alignment horizontal="left" vertical="top" wrapText="1"/>
    </xf>
    <xf numFmtId="0" fontId="70" fillId="0" borderId="0" xfId="0" applyFont="1" applyAlignment="1">
      <alignment horizontal="left" vertical="center" wrapText="1"/>
    </xf>
    <xf numFmtId="0" fontId="79" fillId="10" borderId="19" xfId="10" applyFont="1" applyAlignment="1">
      <alignment wrapText="1"/>
    </xf>
    <xf numFmtId="0" fontId="70" fillId="0" borderId="0" xfId="0" applyFont="1" applyAlignment="1">
      <alignment vertical="center"/>
    </xf>
    <xf numFmtId="0" fontId="68" fillId="0" borderId="0" xfId="0" applyFont="1" applyAlignment="1">
      <alignment vertical="center" wrapText="1"/>
    </xf>
    <xf numFmtId="0" fontId="5" fillId="0" borderId="0" xfId="0" applyFont="1" applyFill="1" applyAlignment="1">
      <alignment vertical="center" wrapText="1"/>
    </xf>
    <xf numFmtId="0" fontId="71" fillId="0" borderId="0" xfId="0" applyFont="1" applyAlignment="1">
      <alignment vertical="center" wrapText="1"/>
    </xf>
    <xf numFmtId="0" fontId="81" fillId="0" borderId="0" xfId="6" applyFont="1" applyAlignment="1">
      <alignment vertical="center" wrapText="1"/>
    </xf>
    <xf numFmtId="0" fontId="71" fillId="0" borderId="0" xfId="0" applyFont="1" applyFill="1" applyAlignment="1">
      <alignment vertical="center" wrapText="1"/>
    </xf>
    <xf numFmtId="0" fontId="82" fillId="4" borderId="0" xfId="0" applyFont="1" applyFill="1" applyAlignment="1">
      <alignment horizontal="center" vertical="center" wrapText="1"/>
    </xf>
    <xf numFmtId="0" fontId="82" fillId="0" borderId="0" xfId="0" applyFont="1" applyFill="1" applyAlignment="1">
      <alignment horizontal="center" vertical="center" wrapText="1"/>
    </xf>
    <xf numFmtId="0" fontId="13" fillId="0" borderId="0" xfId="0" applyFont="1" applyFill="1" applyAlignment="1">
      <alignment vertical="center" wrapText="1"/>
    </xf>
    <xf numFmtId="0" fontId="83" fillId="0" borderId="0" xfId="6" applyFont="1" applyAlignment="1">
      <alignment vertical="center" wrapText="1"/>
    </xf>
    <xf numFmtId="0" fontId="5" fillId="4" borderId="0" xfId="5" applyFont="1" applyFill="1" applyAlignment="1">
      <alignment horizontal="center" vertical="center" wrapText="1"/>
    </xf>
    <xf numFmtId="0" fontId="70" fillId="0" borderId="0" xfId="0" applyFont="1" applyAlignment="1">
      <alignment horizontal="center" vertical="center" wrapText="1"/>
    </xf>
    <xf numFmtId="0" fontId="1" fillId="0" borderId="0" xfId="0" applyFont="1" applyFill="1" applyAlignment="1">
      <alignment horizontal="center" vertical="center" wrapText="1"/>
    </xf>
    <xf numFmtId="0" fontId="11" fillId="0" borderId="0" xfId="3" applyFont="1" applyFill="1" applyBorder="1" applyAlignment="1">
      <alignment horizontal="center" vertical="center" wrapText="1"/>
    </xf>
    <xf numFmtId="0" fontId="59" fillId="0" borderId="0" xfId="3" applyFont="1" applyFill="1" applyBorder="1" applyAlignment="1">
      <alignment horizontal="center" vertical="center" wrapText="1"/>
    </xf>
    <xf numFmtId="0" fontId="59" fillId="0" borderId="0" xfId="3" applyFont="1" applyFill="1" applyBorder="1" applyAlignment="1">
      <alignment vertical="center" wrapText="1"/>
    </xf>
    <xf numFmtId="0" fontId="10" fillId="0" borderId="0" xfId="2"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29" fillId="6" borderId="2" xfId="0" applyFont="1" applyFill="1" applyBorder="1" applyAlignment="1" applyProtection="1">
      <alignment horizontal="left" vertical="center" wrapText="1"/>
      <protection locked="0"/>
    </xf>
    <xf numFmtId="0" fontId="75" fillId="0" borderId="0" xfId="0" applyFont="1" applyAlignment="1">
      <alignment horizontal="left" vertical="top" wrapText="1"/>
    </xf>
    <xf numFmtId="0" fontId="73" fillId="0" borderId="0" xfId="0" applyFont="1" applyAlignment="1">
      <alignment vertical="center" wrapText="1"/>
    </xf>
    <xf numFmtId="0" fontId="73" fillId="0" borderId="0" xfId="0" applyFont="1" applyAlignment="1">
      <alignment horizontal="left" vertical="center" wrapText="1"/>
    </xf>
    <xf numFmtId="0" fontId="73" fillId="0" borderId="0" xfId="0" applyFont="1" applyAlignment="1" applyProtection="1">
      <alignment horizontal="left" vertical="center" wrapText="1"/>
      <protection locked="0"/>
    </xf>
    <xf numFmtId="0" fontId="75" fillId="0" borderId="0" xfId="0" applyFont="1" applyAlignment="1">
      <alignment horizontal="right" vertical="top" wrapText="1"/>
    </xf>
    <xf numFmtId="0" fontId="23" fillId="0" borderId="0" xfId="0" applyFont="1" applyAlignment="1">
      <alignment vertical="top" wrapText="1"/>
    </xf>
    <xf numFmtId="0" fontId="23" fillId="0" borderId="0" xfId="0" applyFont="1" applyAlignment="1">
      <alignment horizontal="left" vertical="top" wrapText="1"/>
    </xf>
    <xf numFmtId="0" fontId="63" fillId="0" borderId="0" xfId="0" applyFont="1" applyAlignment="1">
      <alignment vertical="center" wrapText="1"/>
    </xf>
    <xf numFmtId="0" fontId="76" fillId="0" borderId="0" xfId="0" applyFont="1" applyAlignment="1">
      <alignment horizontal="left" vertical="center" wrapText="1"/>
    </xf>
    <xf numFmtId="0" fontId="11" fillId="0" borderId="0" xfId="2" applyFont="1" applyFill="1" applyBorder="1" applyAlignment="1">
      <alignment horizontal="left" vertical="center" wrapText="1"/>
    </xf>
    <xf numFmtId="0" fontId="51" fillId="0" borderId="0" xfId="3" applyFont="1" applyFill="1" applyBorder="1" applyAlignment="1">
      <alignment horizontal="left" vertical="center" wrapText="1"/>
    </xf>
    <xf numFmtId="0" fontId="70" fillId="0" borderId="0" xfId="0" applyFont="1" applyFill="1" applyAlignment="1">
      <alignment horizontal="left" vertical="center" wrapText="1"/>
    </xf>
    <xf numFmtId="0" fontId="10" fillId="0" borderId="0" xfId="2" applyFont="1" applyFill="1" applyBorder="1" applyAlignment="1">
      <alignment horizontal="center" vertical="center" wrapText="1"/>
    </xf>
    <xf numFmtId="0" fontId="77" fillId="4" borderId="0" xfId="0" applyFont="1" applyFill="1" applyAlignment="1">
      <alignment horizontal="right" vertical="top" wrapText="1"/>
    </xf>
    <xf numFmtId="0" fontId="70" fillId="0" borderId="0" xfId="0" applyFont="1" applyBorder="1" applyAlignment="1">
      <alignment horizontal="left" vertical="center" wrapText="1"/>
    </xf>
    <xf numFmtId="0" fontId="70" fillId="0" borderId="0" xfId="0" applyFont="1" applyFill="1" applyBorder="1" applyAlignment="1">
      <alignment horizontal="left" vertical="center" wrapText="1"/>
    </xf>
    <xf numFmtId="0" fontId="78" fillId="10" borderId="14" xfId="4" applyFont="1" applyBorder="1" applyAlignment="1">
      <alignment wrapText="1"/>
    </xf>
    <xf numFmtId="0" fontId="78" fillId="10" borderId="18" xfId="4" applyFont="1" applyAlignment="1">
      <alignment wrapText="1"/>
    </xf>
    <xf numFmtId="0" fontId="80" fillId="10" borderId="19" xfId="10" applyFont="1" applyAlignment="1">
      <alignment wrapText="1"/>
    </xf>
    <xf numFmtId="0" fontId="3" fillId="0" borderId="0" xfId="0" applyFont="1" applyAlignment="1">
      <alignment wrapText="1"/>
    </xf>
    <xf numFmtId="0" fontId="75" fillId="0" borderId="0" xfId="0" applyFont="1" applyAlignment="1">
      <alignment horizontal="left" vertical="center" wrapText="1"/>
    </xf>
    <xf numFmtId="0" fontId="74" fillId="0" borderId="0" xfId="0" applyFont="1" applyAlignment="1">
      <alignment horizontal="left" vertical="center" wrapText="1"/>
    </xf>
    <xf numFmtId="0" fontId="29" fillId="6" borderId="2" xfId="0" applyFont="1" applyFill="1" applyBorder="1" applyAlignment="1" applyProtection="1">
      <alignment vertical="center" wrapText="1"/>
      <protection locked="0"/>
    </xf>
    <xf numFmtId="0" fontId="88" fillId="0" borderId="0" xfId="0" applyFont="1" applyAlignment="1">
      <alignment vertical="center" wrapText="1"/>
    </xf>
    <xf numFmtId="0" fontId="88" fillId="0" borderId="0" xfId="0" applyFont="1" applyAlignment="1">
      <alignment horizontal="left" vertical="center" wrapText="1"/>
    </xf>
    <xf numFmtId="0" fontId="73" fillId="0" borderId="0" xfId="0" applyFont="1" applyAlignment="1">
      <alignment horizontal="left" vertical="center"/>
    </xf>
    <xf numFmtId="0" fontId="29" fillId="0" borderId="0" xfId="0" applyFont="1" applyFill="1" applyAlignment="1">
      <alignment vertical="center" wrapText="1"/>
    </xf>
    <xf numFmtId="0" fontId="75" fillId="0" borderId="0" xfId="0" applyFont="1" applyFill="1" applyAlignment="1">
      <alignment horizontal="left" vertical="center" wrapText="1"/>
    </xf>
    <xf numFmtId="0" fontId="63" fillId="0" borderId="0" xfId="0" applyFont="1" applyFill="1" applyAlignment="1">
      <alignment vertical="center" wrapText="1"/>
    </xf>
    <xf numFmtId="0" fontId="74" fillId="0" borderId="0" xfId="0" applyFont="1" applyFill="1" applyAlignment="1">
      <alignment horizontal="left" vertical="center" wrapText="1"/>
    </xf>
    <xf numFmtId="0" fontId="90" fillId="0" borderId="0" xfId="0" applyFont="1" applyAlignment="1">
      <alignment horizontal="left" vertical="center" wrapText="1"/>
    </xf>
    <xf numFmtId="0" fontId="29" fillId="0" borderId="0" xfId="0" applyFont="1" applyAlignment="1">
      <alignment horizontal="left" vertical="center" wrapText="1"/>
    </xf>
    <xf numFmtId="0" fontId="91" fillId="0" borderId="0" xfId="0" applyFont="1" applyAlignment="1">
      <alignment horizontal="left" vertical="center" wrapText="1"/>
    </xf>
    <xf numFmtId="0" fontId="73" fillId="0" borderId="0" xfId="0" applyFont="1" applyAlignment="1">
      <alignment horizontal="left" vertical="center" wrapText="1" indent="1"/>
    </xf>
    <xf numFmtId="0" fontId="51" fillId="0" borderId="0" xfId="3" applyFont="1" applyFill="1" applyBorder="1" applyAlignment="1">
      <alignment horizontal="left" vertical="center"/>
    </xf>
    <xf numFmtId="0" fontId="0" fillId="0" borderId="0" xfId="0" applyFill="1" applyAlignment="1">
      <alignment horizontal="left" vertical="center" wrapText="1"/>
    </xf>
    <xf numFmtId="0" fontId="63" fillId="0" borderId="0" xfId="3" applyFont="1" applyFill="1" applyBorder="1" applyAlignment="1">
      <alignment horizontal="center" vertical="center" wrapText="1"/>
    </xf>
    <xf numFmtId="0" fontId="17" fillId="6" borderId="2" xfId="0"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73" fillId="0" borderId="0" xfId="0" applyFont="1" applyAlignment="1">
      <alignment horizontal="center" vertical="center" wrapText="1"/>
    </xf>
    <xf numFmtId="0" fontId="29" fillId="0" borderId="0" xfId="0" applyFont="1" applyAlignment="1">
      <alignment vertical="center" wrapText="1"/>
    </xf>
    <xf numFmtId="0" fontId="73" fillId="0" borderId="0" xfId="0" applyFont="1" applyFill="1" applyAlignment="1">
      <alignment horizontal="left" vertical="center" wrapText="1" indent="1"/>
    </xf>
    <xf numFmtId="0" fontId="73" fillId="0" borderId="0" xfId="0" applyFont="1" applyFill="1" applyAlignment="1">
      <alignment vertical="center" wrapText="1"/>
    </xf>
    <xf numFmtId="0" fontId="75" fillId="4" borderId="0" xfId="0" applyFont="1" applyFill="1" applyAlignment="1">
      <alignment vertical="center" wrapText="1"/>
    </xf>
    <xf numFmtId="0" fontId="73" fillId="4" borderId="0" xfId="0" applyFont="1" applyFill="1" applyAlignment="1">
      <alignment vertical="center" wrapText="1"/>
    </xf>
    <xf numFmtId="0" fontId="29" fillId="4" borderId="0" xfId="0" applyFont="1" applyFill="1" applyAlignment="1">
      <alignment vertical="center" wrapText="1"/>
    </xf>
    <xf numFmtId="0" fontId="73" fillId="0" borderId="0" xfId="0" applyFont="1" applyBorder="1" applyAlignment="1">
      <alignment vertical="center" wrapText="1"/>
    </xf>
    <xf numFmtId="0" fontId="23" fillId="4" borderId="0" xfId="0" applyFont="1" applyFill="1" applyAlignment="1">
      <alignment horizontal="left" vertical="center" wrapText="1"/>
    </xf>
    <xf numFmtId="0" fontId="11" fillId="0" borderId="0" xfId="2" applyFont="1" applyFill="1" applyBorder="1" applyAlignment="1">
      <alignment vertical="top" wrapText="1"/>
    </xf>
    <xf numFmtId="0" fontId="63" fillId="0" borderId="0" xfId="3" applyFont="1" applyFill="1" applyBorder="1" applyAlignment="1">
      <alignment horizontal="center" vertical="top" wrapText="1"/>
    </xf>
    <xf numFmtId="0" fontId="10" fillId="0" borderId="0" xfId="2"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vertical="top" wrapText="1"/>
    </xf>
    <xf numFmtId="43" fontId="63" fillId="0" borderId="0" xfId="7" applyNumberFormat="1" applyFont="1" applyFill="1" applyBorder="1" applyAlignment="1">
      <alignment horizontal="left" vertical="top" wrapText="1"/>
    </xf>
    <xf numFmtId="43" fontId="63" fillId="0" borderId="0" xfId="7" applyFont="1" applyFill="1" applyBorder="1" applyAlignment="1">
      <alignment horizontal="left" vertical="top" wrapText="1"/>
    </xf>
    <xf numFmtId="0" fontId="74" fillId="0" borderId="0" xfId="0" applyFont="1" applyFill="1" applyBorder="1" applyAlignment="1">
      <alignment horizontal="left" vertical="top" wrapText="1"/>
    </xf>
    <xf numFmtId="0" fontId="76" fillId="0" borderId="0" xfId="2" applyFont="1" applyFill="1" applyBorder="1" applyAlignment="1">
      <alignment horizontal="left" vertical="top" wrapText="1"/>
    </xf>
    <xf numFmtId="43" fontId="74" fillId="0" borderId="0" xfId="7" applyFont="1" applyFill="1" applyBorder="1" applyAlignment="1">
      <alignment horizontal="left" vertical="top" wrapText="1"/>
    </xf>
    <xf numFmtId="0" fontId="95" fillId="0" borderId="0" xfId="0" applyFont="1" applyFill="1" applyBorder="1" applyAlignment="1">
      <alignment horizontal="center" vertical="center" wrapText="1"/>
    </xf>
    <xf numFmtId="0" fontId="95" fillId="0" borderId="0" xfId="0" applyFont="1" applyFill="1" applyAlignment="1">
      <alignment vertical="center" wrapText="1"/>
    </xf>
    <xf numFmtId="0" fontId="96" fillId="5" borderId="19" xfId="10" applyFont="1" applyFill="1" applyAlignment="1">
      <alignment vertical="top"/>
    </xf>
    <xf numFmtId="0" fontId="95" fillId="0" borderId="0" xfId="0" applyFont="1" applyFill="1" applyAlignment="1">
      <alignment vertical="top" wrapText="1"/>
    </xf>
    <xf numFmtId="0" fontId="50" fillId="0" borderId="0" xfId="2" applyFont="1" applyFill="1" applyAlignment="1">
      <alignment horizontal="center" vertical="center"/>
    </xf>
    <xf numFmtId="0" fontId="97" fillId="5" borderId="18" xfId="4" applyFont="1" applyFill="1" applyAlignment="1">
      <alignment vertical="top" wrapText="1"/>
    </xf>
    <xf numFmtId="0" fontId="50" fillId="0" borderId="0" xfId="2" applyFont="1" applyFill="1" applyBorder="1" applyAlignment="1">
      <alignment horizontal="center" vertical="center" wrapText="1"/>
    </xf>
    <xf numFmtId="43" fontId="8" fillId="0" borderId="0" xfId="7" applyFont="1" applyFill="1" applyBorder="1" applyAlignment="1">
      <alignment horizontal="center" vertical="center" wrapText="1"/>
    </xf>
    <xf numFmtId="43" fontId="63" fillId="0" borderId="0" xfId="3" applyNumberFormat="1" applyFont="1" applyFill="1" applyBorder="1" applyAlignment="1">
      <alignment horizontal="left" vertical="top" wrapText="1"/>
    </xf>
    <xf numFmtId="0" fontId="98" fillId="0" borderId="0" xfId="3" applyFont="1" applyFill="1" applyAlignment="1">
      <alignment horizontal="center" vertical="center"/>
    </xf>
    <xf numFmtId="0" fontId="29" fillId="6" borderId="2" xfId="0" applyFont="1" applyFill="1" applyBorder="1" applyAlignment="1" applyProtection="1">
      <alignment horizontal="center" vertical="center" wrapText="1"/>
      <protection locked="0"/>
    </xf>
    <xf numFmtId="0" fontId="10" fillId="0" borderId="0" xfId="2" applyFont="1" applyFill="1" applyBorder="1" applyAlignment="1">
      <alignment horizontal="center" vertical="top"/>
    </xf>
    <xf numFmtId="0" fontId="29" fillId="0" borderId="0" xfId="0" applyFont="1" applyFill="1" applyBorder="1" applyAlignment="1">
      <alignment vertical="center"/>
    </xf>
    <xf numFmtId="0" fontId="29" fillId="0" borderId="17" xfId="0" applyFont="1" applyFill="1" applyBorder="1" applyAlignment="1">
      <alignment horizontal="left" vertical="top"/>
    </xf>
    <xf numFmtId="0" fontId="75" fillId="0" borderId="17" xfId="0" applyFont="1" applyFill="1" applyBorder="1" applyAlignment="1">
      <alignment horizontal="left" vertical="top"/>
    </xf>
    <xf numFmtId="9" fontId="29" fillId="0" borderId="0" xfId="9" applyFont="1" applyFill="1" applyBorder="1" applyAlignment="1">
      <alignment vertical="center"/>
    </xf>
    <xf numFmtId="0" fontId="10" fillId="0" borderId="0" xfId="0" applyFont="1" applyFill="1" applyBorder="1" applyAlignment="1">
      <alignment horizontal="left" vertical="top" wrapText="1"/>
    </xf>
    <xf numFmtId="0" fontId="92" fillId="4" borderId="0" xfId="0" applyFont="1" applyFill="1" applyAlignment="1">
      <alignment horizontal="right" vertical="top"/>
    </xf>
    <xf numFmtId="0" fontId="63" fillId="0" borderId="0" xfId="0" applyFont="1" applyFill="1" applyAlignment="1">
      <alignment horizontal="center" vertical="center" wrapText="1"/>
    </xf>
    <xf numFmtId="0" fontId="29" fillId="0" borderId="0" xfId="0" applyFont="1" applyBorder="1" applyAlignment="1">
      <alignment vertical="center" wrapText="1"/>
    </xf>
    <xf numFmtId="0" fontId="29" fillId="4" borderId="0" xfId="0" applyFont="1" applyFill="1" applyBorder="1" applyAlignment="1">
      <alignment vertical="center" wrapText="1"/>
    </xf>
    <xf numFmtId="0" fontId="29" fillId="4" borderId="9" xfId="0" applyFont="1" applyFill="1" applyBorder="1" applyAlignment="1">
      <alignment horizontal="left" vertical="center" wrapText="1"/>
    </xf>
    <xf numFmtId="0" fontId="23" fillId="4" borderId="0" xfId="0" applyFont="1" applyFill="1" applyBorder="1" applyAlignment="1">
      <alignment vertical="center" wrapText="1"/>
    </xf>
    <xf numFmtId="0" fontId="73" fillId="0" borderId="0" xfId="0" applyFont="1" applyBorder="1" applyAlignment="1">
      <alignment horizontal="left" vertical="center" wrapText="1"/>
    </xf>
    <xf numFmtId="0" fontId="63"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horizontal="left" vertical="top" wrapText="1"/>
    </xf>
    <xf numFmtId="0" fontId="93" fillId="0" borderId="0" xfId="0" applyFont="1" applyBorder="1" applyAlignment="1">
      <alignment vertical="center" wrapText="1"/>
    </xf>
    <xf numFmtId="0" fontId="23" fillId="0" borderId="0" xfId="0" applyFont="1" applyAlignment="1">
      <alignment horizontal="left" vertical="center" wrapText="1" indent="15"/>
    </xf>
    <xf numFmtId="0" fontId="23" fillId="4" borderId="0" xfId="0" applyFont="1" applyFill="1" applyAlignment="1">
      <alignment vertical="center" wrapText="1"/>
    </xf>
    <xf numFmtId="0" fontId="40" fillId="0" borderId="0" xfId="0" applyFont="1" applyAlignment="1">
      <alignment horizontal="left" vertical="center" wrapText="1"/>
    </xf>
    <xf numFmtId="0" fontId="40" fillId="0" borderId="0" xfId="0" applyFont="1" applyFill="1" applyAlignment="1">
      <alignment horizontal="left" vertical="center" wrapText="1"/>
    </xf>
    <xf numFmtId="0" fontId="40" fillId="0" borderId="0" xfId="0" applyFont="1" applyAlignment="1">
      <alignment horizontal="center" vertical="center" wrapText="1"/>
    </xf>
    <xf numFmtId="0" fontId="40" fillId="4" borderId="0" xfId="0" applyFont="1" applyFill="1" applyAlignment="1">
      <alignment horizontal="left" vertical="center" wrapText="1"/>
    </xf>
    <xf numFmtId="0" fontId="68" fillId="4" borderId="0" xfId="0" applyFont="1" applyFill="1" applyBorder="1" applyAlignment="1">
      <alignment horizontal="left" vertical="center" wrapText="1"/>
    </xf>
    <xf numFmtId="0" fontId="57" fillId="0" borderId="0" xfId="0" applyFont="1" applyAlignment="1">
      <alignment horizontal="left" vertical="center" wrapText="1"/>
    </xf>
    <xf numFmtId="0" fontId="40" fillId="0" borderId="0" xfId="0" applyFont="1" applyBorder="1" applyAlignment="1">
      <alignment horizontal="left" vertical="center" wrapText="1"/>
    </xf>
    <xf numFmtId="0" fontId="40" fillId="4" borderId="0" xfId="0" applyFont="1" applyFill="1" applyBorder="1" applyAlignment="1">
      <alignment horizontal="left" vertical="center" wrapText="1"/>
    </xf>
    <xf numFmtId="0" fontId="40" fillId="0" borderId="0" xfId="0" applyFont="1" applyBorder="1" applyAlignment="1">
      <alignment horizontal="center" vertical="center" wrapText="1"/>
    </xf>
    <xf numFmtId="0" fontId="72" fillId="0" borderId="0" xfId="2" applyFont="1" applyFill="1" applyBorder="1" applyAlignment="1">
      <alignment horizontal="left" vertical="center" wrapText="1"/>
    </xf>
    <xf numFmtId="0" fontId="5" fillId="0" borderId="0" xfId="3" applyFont="1" applyFill="1" applyBorder="1" applyAlignment="1">
      <alignment horizontal="left" vertical="center" wrapText="1"/>
    </xf>
    <xf numFmtId="0" fontId="84" fillId="0" borderId="0" xfId="3" applyFont="1" applyFill="1" applyBorder="1" applyAlignment="1">
      <alignment horizontal="left" vertical="center" wrapText="1"/>
    </xf>
    <xf numFmtId="9" fontId="93" fillId="0" borderId="0" xfId="9" applyFont="1" applyAlignment="1">
      <alignment horizontal="left" vertical="center" wrapText="1"/>
    </xf>
    <xf numFmtId="9" fontId="93" fillId="4" borderId="0" xfId="9" applyFont="1" applyFill="1" applyAlignment="1">
      <alignment horizontal="left" vertical="center" wrapText="1"/>
    </xf>
    <xf numFmtId="0" fontId="85" fillId="4" borderId="0" xfId="2" applyFont="1" applyFill="1" applyBorder="1" applyAlignment="1">
      <alignment horizontal="left" vertical="center" wrapText="1"/>
    </xf>
    <xf numFmtId="0" fontId="74" fillId="4" borderId="0" xfId="1" applyFont="1" applyFill="1" applyBorder="1" applyAlignment="1">
      <alignment horizontal="left" vertical="center" wrapText="1"/>
    </xf>
    <xf numFmtId="0" fontId="62" fillId="4" borderId="0" xfId="3" applyFont="1" applyFill="1" applyBorder="1" applyAlignment="1">
      <alignment horizontal="left" vertical="center" wrapText="1"/>
    </xf>
    <xf numFmtId="0" fontId="63" fillId="4" borderId="0" xfId="1" applyFont="1" applyFill="1" applyBorder="1" applyAlignment="1">
      <alignment horizontal="left" vertical="center" wrapText="1"/>
    </xf>
    <xf numFmtId="0" fontId="23" fillId="13" borderId="21" xfId="0" applyFont="1" applyFill="1" applyBorder="1" applyAlignment="1">
      <alignment horizontal="left" vertical="center" wrapText="1"/>
    </xf>
    <xf numFmtId="0" fontId="23" fillId="13" borderId="22" xfId="0" applyFont="1" applyFill="1" applyBorder="1" applyAlignment="1">
      <alignment horizontal="left" vertical="center" wrapText="1"/>
    </xf>
    <xf numFmtId="0" fontId="23" fillId="13" borderId="23" xfId="0" applyFont="1" applyFill="1" applyBorder="1" applyAlignment="1">
      <alignment horizontal="left" vertical="center" wrapText="1"/>
    </xf>
    <xf numFmtId="0" fontId="23" fillId="13" borderId="24" xfId="0" applyFont="1" applyFill="1" applyBorder="1" applyAlignment="1">
      <alignment horizontal="left" vertical="center" wrapText="1"/>
    </xf>
    <xf numFmtId="0" fontId="23" fillId="13" borderId="25" xfId="0" applyFont="1" applyFill="1" applyBorder="1" applyAlignment="1">
      <alignment horizontal="left" vertical="center" wrapText="1"/>
    </xf>
    <xf numFmtId="0" fontId="23" fillId="13" borderId="26" xfId="0" applyFont="1" applyFill="1" applyBorder="1" applyAlignment="1">
      <alignment horizontal="left" vertical="center" wrapText="1"/>
    </xf>
    <xf numFmtId="0" fontId="29" fillId="13" borderId="21" xfId="0" applyFont="1" applyFill="1" applyBorder="1" applyAlignment="1">
      <alignment horizontal="left" vertical="center" wrapText="1"/>
    </xf>
    <xf numFmtId="0" fontId="75" fillId="13" borderId="22" xfId="0" applyFont="1" applyFill="1" applyBorder="1" applyAlignment="1">
      <alignment horizontal="left" vertical="center" wrapText="1"/>
    </xf>
    <xf numFmtId="0" fontId="29" fillId="13" borderId="23" xfId="0" applyFont="1" applyFill="1" applyBorder="1" applyAlignment="1">
      <alignment horizontal="left" vertical="center" wrapText="1"/>
    </xf>
    <xf numFmtId="0" fontId="75" fillId="13" borderId="24" xfId="0" applyFont="1" applyFill="1" applyBorder="1" applyAlignment="1">
      <alignment horizontal="left" vertical="center" wrapText="1"/>
    </xf>
    <xf numFmtId="0" fontId="29" fillId="13" borderId="25" xfId="0" applyFont="1" applyFill="1" applyBorder="1" applyAlignment="1">
      <alignment horizontal="left" vertical="center" wrapText="1"/>
    </xf>
    <xf numFmtId="0" fontId="75" fillId="13" borderId="26" xfId="0" applyFont="1" applyFill="1" applyBorder="1" applyAlignment="1">
      <alignment horizontal="left" vertical="center" wrapText="1"/>
    </xf>
    <xf numFmtId="0" fontId="29" fillId="13" borderId="27" xfId="0" applyFont="1" applyFill="1" applyBorder="1" applyAlignment="1">
      <alignment horizontal="left" vertical="center" wrapText="1"/>
    </xf>
    <xf numFmtId="0" fontId="75" fillId="13" borderId="28" xfId="0" applyFont="1" applyFill="1" applyBorder="1" applyAlignment="1">
      <alignment horizontal="left" vertical="center" wrapText="1"/>
    </xf>
    <xf numFmtId="0" fontId="100" fillId="0" borderId="0" xfId="0" applyFont="1" applyFill="1" applyAlignment="1">
      <alignment vertical="center" wrapText="1"/>
    </xf>
    <xf numFmtId="0" fontId="51" fillId="0" borderId="29" xfId="3" applyFont="1" applyFill="1" applyBorder="1" applyAlignment="1">
      <alignment horizontal="center" wrapText="1"/>
    </xf>
    <xf numFmtId="0" fontId="102" fillId="0" borderId="0" xfId="0" applyFont="1" applyAlignment="1">
      <alignment horizontal="left" vertical="top" wrapText="1"/>
    </xf>
    <xf numFmtId="0" fontId="103" fillId="0" borderId="0" xfId="0" applyFont="1" applyFill="1" applyAlignment="1">
      <alignment horizontal="left" vertical="top" wrapText="1"/>
    </xf>
    <xf numFmtId="0" fontId="104" fillId="0" borderId="0" xfId="0" applyFont="1" applyBorder="1" applyAlignment="1">
      <alignment horizontal="left" vertical="top" wrapText="1"/>
    </xf>
    <xf numFmtId="0" fontId="100" fillId="0" borderId="0" xfId="3" applyFont="1" applyFill="1" applyBorder="1" applyAlignment="1">
      <alignment horizontal="left" vertical="top" wrapText="1"/>
    </xf>
    <xf numFmtId="0" fontId="100" fillId="4" borderId="0" xfId="2" applyFont="1" applyFill="1" applyBorder="1" applyAlignment="1">
      <alignment horizontal="left" vertical="top" wrapText="1"/>
    </xf>
    <xf numFmtId="0" fontId="104" fillId="0" borderId="0" xfId="0" applyFont="1" applyAlignment="1">
      <alignment horizontal="left" vertical="top" wrapText="1"/>
    </xf>
    <xf numFmtId="0" fontId="102" fillId="4" borderId="0" xfId="0" applyFont="1" applyFill="1" applyBorder="1" applyAlignment="1">
      <alignment horizontal="left" vertical="top" wrapText="1"/>
    </xf>
    <xf numFmtId="0" fontId="103" fillId="0" borderId="0" xfId="0" applyFont="1" applyBorder="1" applyAlignment="1">
      <alignment horizontal="center" vertical="center" wrapText="1"/>
    </xf>
    <xf numFmtId="0" fontId="103" fillId="0" borderId="0" xfId="0" applyFont="1" applyAlignment="1">
      <alignment horizontal="center" vertical="center" wrapText="1"/>
    </xf>
    <xf numFmtId="0" fontId="102" fillId="0" borderId="0" xfId="0" applyFont="1" applyAlignment="1">
      <alignment horizontal="left" vertical="center" wrapText="1"/>
    </xf>
    <xf numFmtId="0" fontId="103" fillId="0" borderId="0" xfId="0" applyFont="1" applyAlignment="1">
      <alignment horizontal="left" vertical="center" wrapText="1" indent="15"/>
    </xf>
    <xf numFmtId="0" fontId="94" fillId="14" borderId="33" xfId="2" applyFont="1" applyFill="1" applyBorder="1" applyAlignment="1">
      <alignment horizontal="left" vertical="top" wrapText="1"/>
    </xf>
    <xf numFmtId="0" fontId="86" fillId="14" borderId="34" xfId="2" applyFont="1" applyFill="1" applyBorder="1" applyAlignment="1">
      <alignment horizontal="center" vertical="top" wrapText="1"/>
    </xf>
    <xf numFmtId="0" fontId="86" fillId="14" borderId="35" xfId="2" applyFont="1" applyFill="1" applyBorder="1" applyAlignment="1">
      <alignment horizontal="center" vertical="top" wrapText="1"/>
    </xf>
    <xf numFmtId="0" fontId="62" fillId="0" borderId="33" xfId="0" applyFont="1" applyFill="1" applyBorder="1" applyAlignment="1">
      <alignment horizontal="left" vertical="center" wrapText="1"/>
    </xf>
    <xf numFmtId="165" fontId="63" fillId="12" borderId="34" xfId="7" applyNumberFormat="1" applyFont="1" applyFill="1" applyBorder="1" applyAlignment="1" applyProtection="1">
      <alignment horizontal="left" vertical="center" wrapText="1"/>
      <protection locked="0"/>
    </xf>
    <xf numFmtId="165" fontId="63" fillId="12" borderId="35" xfId="7" applyNumberFormat="1" applyFont="1" applyFill="1" applyBorder="1" applyAlignment="1" applyProtection="1">
      <alignment horizontal="left" vertical="center" wrapText="1"/>
      <protection locked="0"/>
    </xf>
    <xf numFmtId="43" fontId="63" fillId="12" borderId="34" xfId="7" applyNumberFormat="1" applyFont="1" applyFill="1" applyBorder="1" applyAlignment="1" applyProtection="1">
      <alignment horizontal="left" vertical="center" wrapText="1"/>
      <protection locked="0"/>
    </xf>
    <xf numFmtId="43" fontId="63" fillId="12" borderId="35" xfId="7" applyNumberFormat="1" applyFont="1" applyFill="1" applyBorder="1" applyAlignment="1" applyProtection="1">
      <alignment horizontal="left" vertical="center" wrapText="1"/>
      <protection locked="0"/>
    </xf>
    <xf numFmtId="0" fontId="74" fillId="0" borderId="33" xfId="0" applyFont="1" applyFill="1" applyBorder="1" applyAlignment="1">
      <alignment horizontal="left" vertical="center" wrapText="1"/>
    </xf>
    <xf numFmtId="166" fontId="74" fillId="0" borderId="34" xfId="7" applyNumberFormat="1" applyFont="1" applyFill="1" applyBorder="1" applyAlignment="1">
      <alignment horizontal="left" vertical="center" wrapText="1"/>
    </xf>
    <xf numFmtId="166" fontId="74" fillId="0" borderId="35" xfId="7" applyNumberFormat="1" applyFont="1" applyFill="1" applyBorder="1" applyAlignment="1">
      <alignment horizontal="left" vertical="center" wrapText="1"/>
    </xf>
    <xf numFmtId="0" fontId="94" fillId="14" borderId="33" xfId="2" applyFont="1" applyFill="1" applyBorder="1" applyAlignment="1">
      <alignment horizontal="left" vertical="center" wrapText="1"/>
    </xf>
    <xf numFmtId="0" fontId="86" fillId="14" borderId="34" xfId="2" applyFont="1" applyFill="1" applyBorder="1" applyAlignment="1">
      <alignment horizontal="left" vertical="center" wrapText="1"/>
    </xf>
    <xf numFmtId="0" fontId="86" fillId="14" borderId="35" xfId="2" applyFont="1" applyFill="1" applyBorder="1" applyAlignment="1">
      <alignment horizontal="left" vertical="center" wrapText="1"/>
    </xf>
    <xf numFmtId="165" fontId="5" fillId="12" borderId="34" xfId="7" applyNumberFormat="1" applyFont="1" applyFill="1" applyBorder="1" applyAlignment="1" applyProtection="1">
      <alignment horizontal="left" vertical="center" wrapText="1"/>
      <protection locked="0"/>
    </xf>
    <xf numFmtId="165" fontId="5" fillId="12" borderId="35" xfId="7" applyNumberFormat="1" applyFont="1" applyFill="1" applyBorder="1" applyAlignment="1" applyProtection="1">
      <alignment horizontal="left" vertical="center" wrapText="1"/>
      <protection locked="0"/>
    </xf>
    <xf numFmtId="167" fontId="74" fillId="0" borderId="34" xfId="7" applyNumberFormat="1" applyFont="1" applyFill="1" applyBorder="1" applyAlignment="1">
      <alignment horizontal="left" vertical="center" wrapText="1"/>
    </xf>
    <xf numFmtId="167" fontId="74" fillId="0" borderId="35" xfId="7" applyNumberFormat="1" applyFont="1" applyFill="1" applyBorder="1" applyAlignment="1">
      <alignment horizontal="left" vertical="center" wrapText="1"/>
    </xf>
    <xf numFmtId="168" fontId="74" fillId="0" borderId="34" xfId="7" applyNumberFormat="1" applyFont="1" applyFill="1" applyBorder="1" applyAlignment="1">
      <alignment horizontal="left" vertical="center" wrapText="1"/>
    </xf>
    <xf numFmtId="168" fontId="74" fillId="0" borderId="35" xfId="7" applyNumberFormat="1" applyFont="1" applyFill="1" applyBorder="1" applyAlignment="1">
      <alignment horizontal="left" vertical="center" wrapText="1"/>
    </xf>
    <xf numFmtId="43" fontId="74" fillId="0" borderId="34" xfId="7" applyNumberFormat="1" applyFont="1" applyFill="1" applyBorder="1" applyAlignment="1">
      <alignment horizontal="left" vertical="center" wrapText="1"/>
    </xf>
    <xf numFmtId="43" fontId="74" fillId="0" borderId="35" xfId="7" applyNumberFormat="1" applyFont="1" applyFill="1" applyBorder="1" applyAlignment="1">
      <alignment horizontal="left" vertical="center" wrapText="1"/>
    </xf>
    <xf numFmtId="165" fontId="74" fillId="0" borderId="34" xfId="7" applyNumberFormat="1" applyFont="1" applyFill="1" applyBorder="1" applyAlignment="1">
      <alignment horizontal="left" vertical="center" wrapText="1"/>
    </xf>
    <xf numFmtId="165" fontId="74" fillId="0" borderId="35" xfId="7" applyNumberFormat="1" applyFont="1" applyFill="1" applyBorder="1" applyAlignment="1">
      <alignment horizontal="left" vertical="center" wrapText="1"/>
    </xf>
    <xf numFmtId="0" fontId="51" fillId="0" borderId="29" xfId="3" applyFont="1" applyFill="1" applyBorder="1" applyAlignment="1">
      <alignment horizontal="center" vertical="center" wrapText="1"/>
    </xf>
    <xf numFmtId="0" fontId="105" fillId="0" borderId="0" xfId="2" applyFont="1" applyFill="1" applyBorder="1" applyAlignment="1">
      <alignment vertical="center" wrapText="1"/>
    </xf>
    <xf numFmtId="0" fontId="100" fillId="0" borderId="0" xfId="0" applyFont="1" applyFill="1" applyAlignment="1">
      <alignment horizontal="left" vertical="center" wrapText="1"/>
    </xf>
    <xf numFmtId="0" fontId="107" fillId="0" borderId="0" xfId="0" applyFont="1" applyBorder="1" applyAlignment="1" applyProtection="1">
      <alignment vertical="top" wrapText="1"/>
    </xf>
    <xf numFmtId="0" fontId="5" fillId="0" borderId="0" xfId="3" applyFont="1" applyFill="1" applyBorder="1" applyAlignment="1">
      <alignment horizontal="center" vertical="center" wrapText="1"/>
    </xf>
    <xf numFmtId="0" fontId="5" fillId="0" borderId="0" xfId="3" applyFont="1" applyFill="1" applyBorder="1" applyAlignment="1">
      <alignment vertical="center" wrapText="1"/>
    </xf>
    <xf numFmtId="0" fontId="5" fillId="0" borderId="0"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2" fillId="0" borderId="0" xfId="0" applyFont="1" applyAlignment="1">
      <alignment vertical="center" wrapText="1"/>
    </xf>
    <xf numFmtId="0" fontId="110" fillId="0" borderId="0" xfId="0" applyFont="1" applyAlignment="1">
      <alignment vertical="center" wrapText="1"/>
    </xf>
    <xf numFmtId="0" fontId="110" fillId="0" borderId="0" xfId="0" applyFont="1" applyFill="1" applyAlignment="1">
      <alignment vertical="center" wrapText="1"/>
    </xf>
    <xf numFmtId="0" fontId="13" fillId="0" borderId="0" xfId="0" applyFont="1" applyBorder="1" applyAlignment="1">
      <alignment vertical="top" wrapText="1"/>
    </xf>
    <xf numFmtId="0" fontId="47" fillId="0" borderId="0" xfId="6" applyAlignment="1" applyProtection="1">
      <alignment horizontal="left" vertical="center" wrapText="1"/>
      <protection locked="0"/>
    </xf>
    <xf numFmtId="0" fontId="32" fillId="0" borderId="0" xfId="0" applyFont="1" applyFill="1" applyAlignment="1">
      <alignment horizontal="center" vertical="center" wrapText="1"/>
    </xf>
    <xf numFmtId="0" fontId="112" fillId="0" borderId="0" xfId="0" applyFont="1" applyFill="1" applyAlignment="1">
      <alignment vertical="center" wrapText="1"/>
    </xf>
    <xf numFmtId="0" fontId="5" fillId="0" borderId="0" xfId="0" applyFont="1" applyFill="1" applyBorder="1" applyAlignment="1">
      <alignment vertical="top" wrapText="1"/>
    </xf>
    <xf numFmtId="0" fontId="33" fillId="4" borderId="0" xfId="0" applyFont="1" applyFill="1" applyBorder="1" applyAlignment="1">
      <alignment horizontal="center" vertical="center" wrapText="1"/>
    </xf>
    <xf numFmtId="0" fontId="37" fillId="5" borderId="18" xfId="4" applyFont="1" applyFill="1"/>
    <xf numFmtId="0" fontId="113" fillId="4" borderId="0" xfId="0" applyFont="1" applyFill="1" applyAlignment="1">
      <alignment horizontal="center" vertical="center" wrapText="1"/>
    </xf>
    <xf numFmtId="0" fontId="114" fillId="4" borderId="0" xfId="0" applyFont="1" applyFill="1" applyAlignment="1">
      <alignment vertical="center" wrapText="1"/>
    </xf>
    <xf numFmtId="43" fontId="32" fillId="0" borderId="0" xfId="7" applyFont="1" applyFill="1" applyAlignment="1">
      <alignment horizontal="center" vertical="center" wrapText="1"/>
    </xf>
    <xf numFmtId="0" fontId="32" fillId="4" borderId="0" xfId="0" applyFont="1" applyFill="1" applyAlignment="1">
      <alignment horizontal="center" vertical="center" wrapText="1"/>
    </xf>
    <xf numFmtId="0" fontId="108" fillId="0" borderId="0" xfId="2" applyFont="1" applyFill="1" applyBorder="1" applyAlignment="1">
      <alignment horizontal="center" vertical="center" wrapText="1"/>
    </xf>
    <xf numFmtId="0" fontId="108" fillId="4" borderId="0" xfId="0" applyFont="1" applyFill="1" applyAlignment="1">
      <alignment horizontal="center" vertical="center" wrapText="1"/>
    </xf>
    <xf numFmtId="0" fontId="108" fillId="4" borderId="0" xfId="5" applyFont="1" applyFill="1" applyAlignment="1">
      <alignment horizontal="center" vertical="center" wrapText="1"/>
    </xf>
    <xf numFmtId="0" fontId="115" fillId="0" borderId="0" xfId="2" applyFont="1" applyFill="1" applyBorder="1" applyAlignment="1" applyProtection="1">
      <alignment horizontal="center" vertical="top" wrapText="1"/>
    </xf>
    <xf numFmtId="0" fontId="62" fillId="4" borderId="0" xfId="0" applyFont="1" applyFill="1" applyBorder="1" applyAlignment="1" applyProtection="1">
      <alignment vertical="top"/>
    </xf>
    <xf numFmtId="0" fontId="62" fillId="4" borderId="0" xfId="0" applyFont="1" applyFill="1" applyBorder="1" applyAlignment="1" applyProtection="1">
      <alignment horizontal="left" vertical="top"/>
    </xf>
    <xf numFmtId="0" fontId="3" fillId="0" borderId="0" xfId="0" applyFont="1" applyFill="1" applyBorder="1" applyAlignment="1" applyProtection="1">
      <alignment horizontal="left" vertical="top" wrapText="1"/>
    </xf>
    <xf numFmtId="0" fontId="5" fillId="0" borderId="0" xfId="3" applyFont="1" applyFill="1" applyBorder="1" applyAlignment="1" applyProtection="1">
      <alignment horizontal="left" vertical="top" wrapText="1"/>
    </xf>
    <xf numFmtId="0" fontId="116" fillId="0" borderId="0" xfId="2" applyFont="1" applyFill="1" applyBorder="1" applyAlignment="1" applyProtection="1">
      <alignment horizontal="right" vertical="top" wrapText="1"/>
    </xf>
    <xf numFmtId="0" fontId="102" fillId="0" borderId="0" xfId="0" applyFont="1" applyBorder="1" applyAlignment="1" applyProtection="1">
      <alignment vertical="top"/>
    </xf>
    <xf numFmtId="0" fontId="117" fillId="0" borderId="0" xfId="2" applyFont="1" applyFill="1" applyBorder="1" applyAlignment="1" applyProtection="1">
      <alignment horizontal="left" vertical="top" wrapText="1"/>
    </xf>
    <xf numFmtId="0" fontId="73" fillId="0" borderId="0" xfId="0" applyFont="1" applyBorder="1" applyAlignment="1" applyProtection="1">
      <alignment vertical="top"/>
    </xf>
    <xf numFmtId="0" fontId="73" fillId="0" borderId="0" xfId="0" applyFont="1" applyFill="1" applyBorder="1" applyAlignment="1" applyProtection="1">
      <alignment horizontal="left" vertical="top"/>
    </xf>
    <xf numFmtId="0" fontId="73" fillId="0" borderId="0" xfId="0" applyFont="1" applyFill="1" applyBorder="1" applyAlignment="1" applyProtection="1">
      <alignment horizontal="left" vertical="top" wrapText="1"/>
    </xf>
    <xf numFmtId="9" fontId="29" fillId="12" borderId="2" xfId="9" applyFont="1" applyFill="1" applyBorder="1" applyAlignment="1" applyProtection="1">
      <alignment horizontal="center" vertical="center" wrapText="1"/>
      <protection locked="0"/>
    </xf>
    <xf numFmtId="0" fontId="5" fillId="0" borderId="0" xfId="0" applyFont="1" applyAlignment="1">
      <alignment horizontal="left" vertical="top" wrapText="1" indent="2"/>
    </xf>
    <xf numFmtId="0" fontId="47" fillId="0" borderId="0" xfId="6" applyAlignment="1" applyProtection="1">
      <alignment horizontal="left" vertical="center"/>
      <protection locked="0"/>
    </xf>
    <xf numFmtId="0" fontId="100" fillId="0" borderId="2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wrapText="1"/>
    </xf>
    <xf numFmtId="0" fontId="70" fillId="0" borderId="0" xfId="0" applyFont="1" applyAlignment="1" applyProtection="1">
      <alignment vertical="center" wrapText="1"/>
    </xf>
    <xf numFmtId="0" fontId="62" fillId="0" borderId="0" xfId="0" applyFont="1" applyFill="1" applyAlignment="1" applyProtection="1">
      <alignment horizontal="left" vertical="center" wrapText="1"/>
    </xf>
    <xf numFmtId="0" fontId="0" fillId="0" borderId="0" xfId="0" applyFill="1" applyAlignment="1">
      <alignment horizontal="center" vertical="center" wrapText="1"/>
    </xf>
    <xf numFmtId="0" fontId="29" fillId="0" borderId="0" xfId="0" applyFont="1" applyFill="1" applyBorder="1" applyAlignment="1">
      <alignment horizontal="left" vertical="center" wrapText="1"/>
    </xf>
    <xf numFmtId="9" fontId="23" fillId="0" borderId="0" xfId="9" applyFont="1" applyFill="1" applyBorder="1" applyAlignment="1">
      <alignment horizontal="center" vertical="center" wrapText="1"/>
    </xf>
    <xf numFmtId="0" fontId="75" fillId="0" borderId="2" xfId="0" applyFont="1" applyFill="1" applyBorder="1" applyAlignment="1">
      <alignment horizontal="center" vertical="center" wrapText="1"/>
    </xf>
    <xf numFmtId="0" fontId="75" fillId="0" borderId="0" xfId="0" applyFont="1" applyFill="1" applyAlignment="1">
      <alignment horizontal="left" vertical="center" wrapText="1" indent="2"/>
    </xf>
    <xf numFmtId="0" fontId="118" fillId="0" borderId="0" xfId="0" applyFont="1" applyAlignment="1">
      <alignment horizontal="left" vertical="center" wrapText="1"/>
    </xf>
    <xf numFmtId="0" fontId="118" fillId="0" borderId="0" xfId="0" applyFont="1" applyAlignment="1">
      <alignment horizontal="left" vertical="center" wrapText="1" indent="2"/>
    </xf>
    <xf numFmtId="0" fontId="118" fillId="0" borderId="0" xfId="0" applyFont="1" applyAlignment="1" applyProtection="1">
      <alignment horizontal="left" vertical="top" wrapText="1" indent="2"/>
      <protection locked="0"/>
    </xf>
    <xf numFmtId="0" fontId="119" fillId="0" borderId="0" xfId="0" applyFont="1" applyAlignment="1">
      <alignment horizontal="left" vertical="top" wrapText="1"/>
    </xf>
    <xf numFmtId="0" fontId="74" fillId="15" borderId="0" xfId="3" applyFont="1" applyFill="1" applyBorder="1" applyAlignment="1">
      <alignment vertical="top" wrapText="1"/>
    </xf>
    <xf numFmtId="0" fontId="23" fillId="0" borderId="0" xfId="0" applyFont="1"/>
    <xf numFmtId="169" fontId="23" fillId="0" borderId="0" xfId="0" applyNumberFormat="1" applyFont="1"/>
    <xf numFmtId="0" fontId="63" fillId="0" borderId="0" xfId="0" applyFont="1" applyFill="1" applyBorder="1" applyAlignment="1">
      <alignment horizontal="left" vertical="top" wrapText="1"/>
    </xf>
    <xf numFmtId="0" fontId="74" fillId="13" borderId="0" xfId="3" applyFont="1" applyFill="1" applyBorder="1" applyAlignment="1">
      <alignment horizontal="left" vertical="top" wrapText="1"/>
    </xf>
    <xf numFmtId="0" fontId="100" fillId="0" borderId="0" xfId="3" applyFont="1" applyFill="1" applyBorder="1" applyAlignment="1">
      <alignment horizontal="left" vertical="top" wrapText="1"/>
    </xf>
    <xf numFmtId="49" fontId="2" fillId="0" borderId="0" xfId="8" applyNumberFormat="1" applyFont="1" applyAlignment="1">
      <alignment horizontal="left"/>
    </xf>
    <xf numFmtId="0" fontId="74" fillId="0" borderId="0" xfId="3" applyFont="1" applyFill="1" applyBorder="1" applyAlignment="1">
      <alignment horizontal="center" vertical="top" wrapText="1"/>
    </xf>
    <xf numFmtId="0" fontId="63" fillId="0" borderId="0" xfId="3" applyFont="1" applyFill="1" applyBorder="1" applyAlignment="1">
      <alignment horizontal="left" vertical="center" wrapText="1"/>
    </xf>
    <xf numFmtId="0" fontId="100" fillId="0" borderId="0" xfId="0" applyFont="1" applyFill="1" applyAlignment="1">
      <alignment horizontal="left" vertical="center" wrapText="1" indent="1"/>
    </xf>
    <xf numFmtId="0" fontId="23" fillId="0" borderId="0" xfId="0" applyFont="1" applyFill="1" applyAlignment="1">
      <alignment horizontal="left" vertical="center" wrapText="1" indent="1"/>
    </xf>
    <xf numFmtId="0" fontId="93" fillId="0" borderId="0" xfId="0" applyFont="1" applyFill="1" applyAlignment="1">
      <alignment horizontal="left" vertical="center" wrapText="1" indent="3"/>
    </xf>
    <xf numFmtId="9" fontId="23" fillId="0" borderId="0" xfId="9" applyFont="1" applyFill="1" applyBorder="1" applyAlignment="1">
      <alignment horizontal="left" vertical="center" wrapText="1" indent="4"/>
    </xf>
    <xf numFmtId="0" fontId="63" fillId="0" borderId="0" xfId="3" applyFont="1" applyFill="1" applyBorder="1" applyAlignment="1">
      <alignment horizontal="center" vertical="top"/>
    </xf>
    <xf numFmtId="0" fontId="120" fillId="0" borderId="0" xfId="0" applyFont="1"/>
    <xf numFmtId="0" fontId="121" fillId="0" borderId="0" xfId="0" applyFont="1"/>
    <xf numFmtId="0" fontId="63" fillId="0" borderId="42" xfId="0" applyFont="1" applyFill="1" applyBorder="1" applyAlignment="1">
      <alignment horizontal="center" vertical="center" wrapText="1"/>
    </xf>
    <xf numFmtId="49" fontId="123" fillId="14" borderId="1" xfId="8" applyNumberFormat="1" applyFont="1" applyFill="1" applyBorder="1" applyAlignment="1">
      <alignment horizontal="center" wrapText="1"/>
    </xf>
    <xf numFmtId="49" fontId="123" fillId="14" borderId="1" xfId="8" applyNumberFormat="1" applyFont="1" applyFill="1" applyBorder="1" applyAlignment="1">
      <alignment horizontal="center"/>
    </xf>
    <xf numFmtId="0" fontId="42" fillId="14" borderId="0" xfId="3" applyFont="1" applyFill="1" applyAlignment="1">
      <alignment horizontal="center" vertical="center" wrapText="1"/>
    </xf>
    <xf numFmtId="0" fontId="125" fillId="0" borderId="42" xfId="3" applyFont="1" applyFill="1" applyBorder="1" applyAlignment="1" applyProtection="1">
      <alignment horizontal="left" vertical="center" wrapText="1"/>
      <protection locked="0"/>
    </xf>
    <xf numFmtId="0" fontId="125" fillId="0" borderId="42" xfId="0" applyFont="1" applyFill="1" applyBorder="1" applyAlignment="1" applyProtection="1">
      <alignment horizontal="left" vertical="center"/>
      <protection locked="0"/>
    </xf>
    <xf numFmtId="43" fontId="125" fillId="0" borderId="42" xfId="7" applyFont="1" applyFill="1" applyBorder="1" applyAlignment="1" applyProtection="1">
      <alignment horizontal="left" vertical="center"/>
      <protection locked="0"/>
    </xf>
    <xf numFmtId="0" fontId="126" fillId="0" borderId="0" xfId="6" applyFont="1" applyAlignment="1" applyProtection="1">
      <alignment horizontal="left" vertical="center"/>
      <protection locked="0"/>
    </xf>
    <xf numFmtId="43" fontId="127" fillId="0" borderId="0" xfId="3" applyNumberFormat="1" applyFont="1" applyFill="1" applyAlignment="1">
      <alignment horizontal="center" vertical="center" wrapText="1"/>
    </xf>
    <xf numFmtId="0" fontId="127" fillId="0" borderId="0" xfId="0" applyFont="1" applyAlignment="1">
      <alignment vertical="center"/>
    </xf>
    <xf numFmtId="0" fontId="127" fillId="0" borderId="0" xfId="3" applyFont="1" applyFill="1" applyBorder="1" applyAlignment="1">
      <alignment vertical="top"/>
    </xf>
    <xf numFmtId="0" fontId="128" fillId="0" borderId="0" xfId="0" applyFont="1" applyFill="1" applyAlignment="1">
      <alignment vertical="center" wrapText="1"/>
    </xf>
    <xf numFmtId="0" fontId="89" fillId="0" borderId="0" xfId="5" applyFont="1" applyFill="1" applyBorder="1" applyAlignment="1">
      <alignment vertical="center" wrapText="1"/>
    </xf>
    <xf numFmtId="0" fontId="130" fillId="0" borderId="0" xfId="0" applyFont="1" applyAlignment="1">
      <alignment horizontal="left" vertical="top" wrapText="1" indent="2"/>
    </xf>
    <xf numFmtId="0" fontId="23" fillId="0" borderId="0" xfId="0" applyFont="1" applyAlignment="1">
      <alignment horizontal="right" vertical="center" wrapText="1"/>
    </xf>
    <xf numFmtId="169" fontId="23" fillId="0" borderId="0" xfId="0" applyNumberFormat="1" applyFont="1" applyAlignment="1">
      <alignment horizontal="right" vertical="center" wrapText="1"/>
    </xf>
    <xf numFmtId="0" fontId="29" fillId="0" borderId="0" xfId="0" applyFont="1" applyAlignment="1">
      <alignment horizontal="right" vertical="center" wrapText="1"/>
    </xf>
    <xf numFmtId="0" fontId="69" fillId="4" borderId="0" xfId="0" applyFont="1" applyFill="1" applyBorder="1" applyAlignment="1">
      <alignment horizontal="left" vertical="center" wrapText="1"/>
    </xf>
    <xf numFmtId="0" fontId="66" fillId="0" borderId="0" xfId="0" applyFont="1" applyFill="1" applyBorder="1" applyAlignment="1">
      <alignment horizontal="left" vertical="center"/>
    </xf>
    <xf numFmtId="0" fontId="63" fillId="0" borderId="0" xfId="0" applyFont="1" applyFill="1" applyBorder="1" applyAlignment="1">
      <alignment horizontal="left" vertical="top" wrapText="1"/>
    </xf>
    <xf numFmtId="0" fontId="11" fillId="0" borderId="0" xfId="2" applyFont="1" applyFill="1" applyBorder="1" applyAlignment="1">
      <alignment horizontal="left" vertical="center" wrapText="1"/>
    </xf>
    <xf numFmtId="0" fontId="3" fillId="4" borderId="0" xfId="0" applyFont="1" applyFill="1" applyBorder="1" applyAlignment="1">
      <alignment horizontal="left" vertical="center" wrapText="1"/>
    </xf>
    <xf numFmtId="0" fontId="100" fillId="0" borderId="0" xfId="2" applyFont="1" applyFill="1" applyBorder="1" applyAlignment="1">
      <alignment horizontal="left" vertical="center" wrapText="1"/>
    </xf>
    <xf numFmtId="0" fontId="11" fillId="0" borderId="0" xfId="2" applyFont="1" applyFill="1" applyBorder="1" applyAlignment="1" applyProtection="1">
      <alignment horizontal="left" vertical="top" wrapText="1"/>
    </xf>
    <xf numFmtId="0" fontId="8" fillId="0" borderId="3"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6" fillId="14" borderId="0" xfId="0" applyFont="1" applyFill="1" applyAlignment="1">
      <alignment horizontal="left" vertical="center" wrapText="1"/>
    </xf>
    <xf numFmtId="0" fontId="101" fillId="0" borderId="0" xfId="2" applyFont="1" applyFill="1" applyBorder="1" applyAlignment="1">
      <alignment horizontal="left" wrapText="1"/>
    </xf>
    <xf numFmtId="0" fontId="74" fillId="13" borderId="0" xfId="3" applyFont="1" applyFill="1" applyBorder="1" applyAlignment="1">
      <alignment horizontal="left" vertical="top" wrapText="1"/>
    </xf>
    <xf numFmtId="0" fontId="51" fillId="0" borderId="0" xfId="3" applyFont="1" applyFill="1" applyBorder="1" applyAlignment="1">
      <alignment horizontal="left" vertical="center" wrapText="1"/>
    </xf>
    <xf numFmtId="0" fontId="101" fillId="0" borderId="0" xfId="2" applyFont="1" applyFill="1" applyBorder="1" applyAlignment="1">
      <alignment horizontal="left" vertical="top" wrapText="1"/>
    </xf>
    <xf numFmtId="0" fontId="62" fillId="0" borderId="0" xfId="0" applyFont="1" applyAlignment="1">
      <alignment horizontal="center" vertical="center" wrapText="1"/>
    </xf>
    <xf numFmtId="0" fontId="23" fillId="0" borderId="3"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106" fillId="0" borderId="0" xfId="0" applyFont="1" applyAlignment="1">
      <alignment horizontal="left" vertical="top" wrapText="1"/>
    </xf>
    <xf numFmtId="0" fontId="76" fillId="13" borderId="0" xfId="3" applyFont="1" applyFill="1" applyBorder="1" applyAlignment="1">
      <alignment horizontal="left" vertical="top" wrapText="1"/>
    </xf>
    <xf numFmtId="0" fontId="63" fillId="0" borderId="0" xfId="0" applyFont="1" applyFill="1" applyAlignment="1">
      <alignment horizontal="center" vertical="center" wrapText="1"/>
    </xf>
    <xf numFmtId="0" fontId="51" fillId="0" borderId="0" xfId="3" applyFont="1" applyFill="1" applyBorder="1" applyAlignment="1">
      <alignment horizontal="left" vertical="top" wrapText="1"/>
    </xf>
    <xf numFmtId="0" fontId="100" fillId="0" borderId="30" xfId="3" applyFont="1" applyFill="1" applyBorder="1" applyAlignment="1">
      <alignment horizontal="center" vertical="center" wrapText="1"/>
    </xf>
    <xf numFmtId="0" fontId="100" fillId="0" borderId="31" xfId="3" applyFont="1" applyFill="1" applyBorder="1" applyAlignment="1">
      <alignment horizontal="center" vertical="center" wrapText="1"/>
    </xf>
    <xf numFmtId="0" fontId="100" fillId="0" borderId="32" xfId="3" applyFont="1" applyFill="1" applyBorder="1" applyAlignment="1">
      <alignment horizontal="center" vertical="center" wrapText="1"/>
    </xf>
    <xf numFmtId="0" fontId="100" fillId="0" borderId="0" xfId="3" applyFont="1" applyFill="1" applyBorder="1" applyAlignment="1">
      <alignment horizontal="left" vertical="top" wrapText="1"/>
    </xf>
    <xf numFmtId="0" fontId="100" fillId="0" borderId="30" xfId="2" applyFont="1" applyFill="1" applyBorder="1" applyAlignment="1">
      <alignment horizontal="center" vertical="center" wrapText="1"/>
    </xf>
    <xf numFmtId="0" fontId="100" fillId="0" borderId="32" xfId="2" applyFont="1" applyFill="1" applyBorder="1" applyAlignment="1">
      <alignment horizontal="center" vertical="center" wrapText="1"/>
    </xf>
    <xf numFmtId="0" fontId="29" fillId="13" borderId="27" xfId="0" applyFont="1" applyFill="1" applyBorder="1" applyAlignment="1">
      <alignment horizontal="left" vertical="center" wrapText="1"/>
    </xf>
    <xf numFmtId="0" fontId="29" fillId="13" borderId="28" xfId="0" applyFont="1" applyFill="1" applyBorder="1" applyAlignment="1">
      <alignment horizontal="left" vertical="center" wrapText="1"/>
    </xf>
    <xf numFmtId="0" fontId="51" fillId="0" borderId="0" xfId="2" applyFont="1" applyFill="1" applyBorder="1" applyAlignment="1">
      <alignment horizontal="left" vertical="center" wrapText="1"/>
    </xf>
    <xf numFmtId="0" fontId="9" fillId="0" borderId="0" xfId="2" applyFont="1" applyFill="1" applyBorder="1" applyAlignment="1">
      <alignment horizontal="left" vertical="center" wrapText="1"/>
    </xf>
    <xf numFmtId="0" fontId="23" fillId="13" borderId="36" xfId="0" applyFont="1" applyFill="1" applyBorder="1" applyAlignment="1" applyProtection="1">
      <alignment horizontal="left" vertical="top" wrapText="1"/>
      <protection locked="0"/>
    </xf>
    <xf numFmtId="0" fontId="23" fillId="13" borderId="37" xfId="0" applyFont="1" applyFill="1" applyBorder="1" applyAlignment="1" applyProtection="1">
      <alignment horizontal="left" vertical="top" wrapText="1"/>
      <protection locked="0"/>
    </xf>
    <xf numFmtId="0" fontId="23" fillId="13" borderId="38" xfId="0" applyFont="1" applyFill="1" applyBorder="1" applyAlignment="1" applyProtection="1">
      <alignment horizontal="left" vertical="top" wrapText="1"/>
      <protection locked="0"/>
    </xf>
    <xf numFmtId="0" fontId="23" fillId="13" borderId="15" xfId="0" applyFont="1" applyFill="1" applyBorder="1" applyAlignment="1" applyProtection="1">
      <alignment horizontal="left" vertical="top" wrapText="1"/>
      <protection locked="0"/>
    </xf>
    <xf numFmtId="0" fontId="23" fillId="13" borderId="0" xfId="0" applyFont="1" applyFill="1" applyBorder="1" applyAlignment="1" applyProtection="1">
      <alignment horizontal="left" vertical="top" wrapText="1"/>
      <protection locked="0"/>
    </xf>
    <xf numFmtId="0" fontId="23" fillId="13" borderId="16" xfId="0" applyFont="1" applyFill="1" applyBorder="1" applyAlignment="1" applyProtection="1">
      <alignment horizontal="left" vertical="top" wrapText="1"/>
      <protection locked="0"/>
    </xf>
    <xf numFmtId="0" fontId="23" fillId="13" borderId="39" xfId="0" applyFont="1" applyFill="1" applyBorder="1" applyAlignment="1" applyProtection="1">
      <alignment horizontal="left" vertical="top" wrapText="1"/>
      <protection locked="0"/>
    </xf>
    <xf numFmtId="0" fontId="23" fillId="13" borderId="40" xfId="0" applyFont="1" applyFill="1" applyBorder="1" applyAlignment="1" applyProtection="1">
      <alignment horizontal="left" vertical="top" wrapText="1"/>
      <protection locked="0"/>
    </xf>
    <xf numFmtId="0" fontId="23" fillId="13" borderId="41" xfId="0" applyFont="1" applyFill="1" applyBorder="1" applyAlignment="1" applyProtection="1">
      <alignment horizontal="left" vertical="top" wrapText="1"/>
      <protection locked="0"/>
    </xf>
    <xf numFmtId="0" fontId="85" fillId="14" borderId="30" xfId="3" applyFont="1" applyFill="1" applyBorder="1" applyAlignment="1">
      <alignment horizontal="center" vertical="center" wrapText="1"/>
    </xf>
    <xf numFmtId="0" fontId="85" fillId="14" borderId="31" xfId="3" applyFont="1" applyFill="1" applyBorder="1" applyAlignment="1">
      <alignment horizontal="center" vertical="center" wrapText="1"/>
    </xf>
    <xf numFmtId="0" fontId="85" fillId="14" borderId="32" xfId="3" applyFont="1" applyFill="1" applyBorder="1" applyAlignment="1">
      <alignment horizontal="center" vertical="center" wrapText="1"/>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49" fontId="123" fillId="14" borderId="1" xfId="8" applyNumberFormat="1" applyFont="1" applyFill="1" applyBorder="1" applyAlignment="1">
      <alignment horizontal="center"/>
    </xf>
    <xf numFmtId="49" fontId="4" fillId="0" borderId="0" xfId="8" applyNumberFormat="1" applyFont="1" applyAlignment="1">
      <alignment horizontal="left"/>
    </xf>
    <xf numFmtId="49" fontId="3" fillId="0" borderId="0" xfId="8" applyNumberFormat="1" applyFont="1" applyAlignment="1">
      <alignment horizontal="left"/>
    </xf>
    <xf numFmtId="49" fontId="122" fillId="0" borderId="0" xfId="8" applyNumberFormat="1" applyFont="1" applyAlignment="1">
      <alignment horizontal="left"/>
    </xf>
    <xf numFmtId="49" fontId="123" fillId="14" borderId="13" xfId="8" applyNumberFormat="1" applyFont="1" applyFill="1" applyBorder="1" applyAlignment="1">
      <alignment horizontal="left" vertical="center"/>
    </xf>
    <xf numFmtId="49" fontId="123" fillId="14" borderId="43" xfId="8" applyNumberFormat="1" applyFont="1" applyFill="1" applyBorder="1" applyAlignment="1">
      <alignment horizontal="left" vertical="center"/>
    </xf>
    <xf numFmtId="49" fontId="123" fillId="14" borderId="10" xfId="8" applyNumberFormat="1" applyFont="1" applyFill="1" applyBorder="1" applyAlignment="1">
      <alignment horizontal="left" vertical="center"/>
    </xf>
    <xf numFmtId="1" fontId="123" fillId="14" borderId="1" xfId="8" applyNumberFormat="1" applyFont="1" applyFill="1" applyBorder="1" applyAlignment="1">
      <alignment horizontal="center"/>
    </xf>
    <xf numFmtId="0" fontId="122" fillId="0" borderId="0" xfId="0" applyFont="1" applyAlignment="1">
      <alignment horizontal="center" vertical="center"/>
    </xf>
  </cellXfs>
  <cellStyles count="11">
    <cellStyle name="60 % - Accent2" xfId="1" builtinId="36"/>
    <cellStyle name="Accent2" xfId="2" builtinId="33"/>
    <cellStyle name="Accent3" xfId="3" builtinId="37"/>
    <cellStyle name="Calcul" xfId="4" builtinId="22"/>
    <cellStyle name="Insatisfaisant" xfId="5" builtinId="27"/>
    <cellStyle name="Lien hypertexte" xfId="6" builtinId="8"/>
    <cellStyle name="Milliers" xfId="7" builtinId="3"/>
    <cellStyle name="Normal" xfId="0" builtinId="0"/>
    <cellStyle name="Normal 2" xfId="8"/>
    <cellStyle name="Pourcentage" xfId="9" builtinId="5"/>
    <cellStyle name="Sortie" xfId="10" builtinId="21"/>
  </cellStyles>
  <dxfs count="62">
    <dxf>
      <font>
        <b val="0"/>
        <i val="0"/>
        <strike val="0"/>
        <condense val="0"/>
        <extend val="0"/>
        <outline val="0"/>
        <shadow val="0"/>
        <u val="none"/>
        <vertAlign val="baseline"/>
        <sz val="14"/>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border>
    </dxf>
    <dxf>
      <border outline="0">
        <bottom style="thin">
          <color indexed="64"/>
        </bottom>
      </border>
    </dxf>
    <dxf>
      <font>
        <b/>
        <i val="0"/>
        <strike val="0"/>
        <condense val="0"/>
        <extend val="0"/>
        <outline val="0"/>
        <shadow val="0"/>
        <u val="none"/>
        <vertAlign val="baseline"/>
        <sz val="14"/>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numFmt numFmtId="0" formatCode="General"/>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i val="0"/>
        <strike val="0"/>
        <condense val="0"/>
        <extend val="0"/>
        <outline val="0"/>
        <shadow val="0"/>
        <u val="none"/>
        <vertAlign val="baseline"/>
        <sz val="12"/>
        <color indexed="8"/>
        <name val="Calibri"/>
        <scheme val="none"/>
      </font>
      <fill>
        <patternFill patternType="solid">
          <fgColor indexed="64"/>
          <bgColor indexed="22"/>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none"/>
      </font>
      <fill>
        <patternFill patternType="solid">
          <fgColor indexed="64"/>
          <bgColor indexed="2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2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2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2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1" tint="0.499984740745262"/>
      </font>
      <fill>
        <patternFill>
          <bgColor theme="0" tint="-4.9989318521683403E-2"/>
        </patternFill>
      </fill>
    </dxf>
    <dxf>
      <font>
        <condense val="0"/>
        <extend val="0"/>
        <color indexed="9"/>
      </font>
      <fill>
        <patternFill patternType="none">
          <bgColor indexed="65"/>
        </patternFill>
      </fill>
      <border>
        <left/>
        <right/>
        <top/>
        <bottom/>
      </border>
    </dxf>
    <dxf>
      <font>
        <color theme="0"/>
        <name val="Cambria"/>
        <scheme val="none"/>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b/>
        <i val="0"/>
        <condense val="0"/>
        <extend val="0"/>
      </font>
      <fill>
        <patternFill>
          <bgColor indexed="13"/>
        </patternFill>
      </fill>
      <border>
        <left style="thin">
          <color indexed="64"/>
        </left>
        <right style="thin">
          <color indexed="64"/>
        </right>
        <top style="thin">
          <color indexed="64"/>
        </top>
        <bottom style="thin">
          <color indexed="64"/>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29</xdr:row>
      <xdr:rowOff>95249</xdr:rowOff>
    </xdr:from>
    <xdr:to>
      <xdr:col>3</xdr:col>
      <xdr:colOff>27214</xdr:colOff>
      <xdr:row>37</xdr:row>
      <xdr:rowOff>68035</xdr:rowOff>
    </xdr:to>
    <xdr:pic>
      <xdr:nvPicPr>
        <xdr:cNvPr id="8" name="Image 7" descr="fond_page_A4_02"/>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64003" b="20885"/>
        <a:stretch/>
      </xdr:blipFill>
      <xdr:spPr bwMode="auto">
        <a:xfrm>
          <a:off x="0" y="5878285"/>
          <a:ext cx="6599464" cy="1387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1979739</xdr:colOff>
      <xdr:row>20</xdr:row>
      <xdr:rowOff>90617</xdr:rowOff>
    </xdr:from>
    <xdr:to>
      <xdr:col>1</xdr:col>
      <xdr:colOff>3443095</xdr:colOff>
      <xdr:row>22</xdr:row>
      <xdr:rowOff>37308</xdr:rowOff>
    </xdr:to>
    <xdr:grpSp>
      <xdr:nvGrpSpPr>
        <xdr:cNvPr id="32876" name="Groupe 3"/>
        <xdr:cNvGrpSpPr>
          <a:grpSpLocks/>
        </xdr:cNvGrpSpPr>
      </xdr:nvGrpSpPr>
      <xdr:grpSpPr bwMode="auto">
        <a:xfrm>
          <a:off x="2564846" y="4091117"/>
          <a:ext cx="1463356" cy="300477"/>
          <a:chOff x="5625293" y="10367769"/>
          <a:chExt cx="1750617" cy="308101"/>
        </a:xfrm>
      </xdr:grpSpPr>
      <xdr:pic>
        <xdr:nvPicPr>
          <xdr:cNvPr id="32877" name="Image 8" descr="logo_MTDA_CMY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5293" y="10367769"/>
            <a:ext cx="334732" cy="308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878" name="Image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09219" y="10367769"/>
            <a:ext cx="1166691" cy="308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4116673</xdr:colOff>
      <xdr:row>44</xdr:row>
      <xdr:rowOff>91073</xdr:rowOff>
    </xdr:from>
    <xdr:to>
      <xdr:col>2</xdr:col>
      <xdr:colOff>536991</xdr:colOff>
      <xdr:row>44</xdr:row>
      <xdr:rowOff>91073</xdr:rowOff>
    </xdr:to>
    <xdr:sp macro="" textlink="">
      <xdr:nvSpPr>
        <xdr:cNvPr id="1027" name="Line 3"/>
        <xdr:cNvSpPr>
          <a:spLocks noChangeShapeType="1"/>
        </xdr:cNvSpPr>
      </xdr:nvSpPr>
      <xdr:spPr bwMode="auto">
        <a:xfrm>
          <a:off x="4705491" y="10447346"/>
          <a:ext cx="2880000" cy="0"/>
        </a:xfrm>
        <a:prstGeom prst="line">
          <a:avLst/>
        </a:prstGeom>
        <a:noFill/>
        <a:ln w="19050">
          <a:solidFill>
            <a:srgbClr val="E3211B"/>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3</xdr:row>
      <xdr:rowOff>38101</xdr:rowOff>
    </xdr:from>
    <xdr:to>
      <xdr:col>4</xdr:col>
      <xdr:colOff>28574</xdr:colOff>
      <xdr:row>17</xdr:row>
      <xdr:rowOff>1085850</xdr:rowOff>
    </xdr:to>
    <xdr:sp macro="" textlink="">
      <xdr:nvSpPr>
        <xdr:cNvPr id="2" name="ZoneTexte 1"/>
        <xdr:cNvSpPr txBox="1"/>
      </xdr:nvSpPr>
      <xdr:spPr>
        <a:xfrm>
          <a:off x="57150" y="657226"/>
          <a:ext cx="5724524" cy="3314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solidFill>
                <a:srgbClr val="0070C0"/>
              </a:solidFill>
              <a:effectLst/>
              <a:latin typeface="Arial" pitchFamily="34" charset="0"/>
              <a:ea typeface="+mn-ea"/>
              <a:cs typeface="Arial" pitchFamily="34" charset="0"/>
            </a:rPr>
            <a:t>Objectif : </a:t>
          </a:r>
          <a:endParaRPr lang="fr-FR" sz="900">
            <a:solidFill>
              <a:srgbClr val="0070C0"/>
            </a:solidFill>
            <a:effectLst/>
            <a:latin typeface="Arial" pitchFamily="34" charset="0"/>
            <a:ea typeface="+mn-ea"/>
            <a:cs typeface="Arial" pitchFamily="34" charset="0"/>
          </a:endParaRPr>
        </a:p>
        <a:p>
          <a:endParaRPr lang="fr-FR" sz="900">
            <a:solidFill>
              <a:schemeClr val="dk1"/>
            </a:solidFill>
            <a:effectLst/>
            <a:latin typeface="Arial" pitchFamily="34" charset="0"/>
            <a:ea typeface="+mn-ea"/>
            <a:cs typeface="Arial" pitchFamily="34" charset="0"/>
          </a:endParaRPr>
        </a:p>
        <a:p>
          <a:r>
            <a:rPr lang="fr-FR" sz="900">
              <a:solidFill>
                <a:schemeClr val="dk1"/>
              </a:solidFill>
              <a:effectLst/>
              <a:latin typeface="Arial" pitchFamily="34" charset="0"/>
              <a:ea typeface="+mn-ea"/>
              <a:cs typeface="Arial" pitchFamily="34" charset="0"/>
            </a:rPr>
            <a:t>Outil d'aide à la décision concernant l'approvisionnement en bois énergie afin de s'assurer de la durabilité dans le cas d'importations de bois non originaire des Pays de la Loire.	</a:t>
          </a:r>
        </a:p>
        <a:p>
          <a:r>
            <a:rPr lang="fr-FR" sz="900">
              <a:solidFill>
                <a:schemeClr val="dk1"/>
              </a:solidFill>
              <a:effectLst/>
              <a:latin typeface="Arial" pitchFamily="34" charset="0"/>
              <a:ea typeface="+mn-ea"/>
              <a:cs typeface="Arial" pitchFamily="34" charset="0"/>
            </a:rPr>
            <a:t>Accompagner le questionnement et proposer des indicateurs objectifs permettant à l'acheteur de prendre une decision quant à son approvisionnement, en fonction de son propre niveau d'exigence.	</a:t>
          </a:r>
        </a:p>
        <a:p>
          <a:r>
            <a:rPr lang="fr-FR" sz="900">
              <a:solidFill>
                <a:schemeClr val="dk1"/>
              </a:solidFill>
              <a:effectLst/>
              <a:latin typeface="Arial" pitchFamily="34" charset="0"/>
              <a:ea typeface="+mn-ea"/>
              <a:cs typeface="Arial" pitchFamily="34" charset="0"/>
            </a:rPr>
            <a:t>NB : cette analyse ne se substitue pas à l'analyse classique des facteurs de choix d'un fournisseur (prix, qualité des produits, sécurité et régularité de l'approvisionnement…) 	</a:t>
          </a:r>
        </a:p>
        <a:p>
          <a:endParaRPr lang="fr-FR" sz="900">
            <a:solidFill>
              <a:schemeClr val="dk1"/>
            </a:solidFill>
            <a:effectLst/>
            <a:latin typeface="Arial" pitchFamily="34" charset="0"/>
            <a:ea typeface="+mn-ea"/>
            <a:cs typeface="Arial" pitchFamily="34" charset="0"/>
          </a:endParaRPr>
        </a:p>
        <a:p>
          <a:r>
            <a:rPr lang="fr-FR" sz="900">
              <a:solidFill>
                <a:schemeClr val="dk1"/>
              </a:solidFill>
              <a:effectLst/>
              <a:latin typeface="Arial" pitchFamily="34" charset="0"/>
              <a:ea typeface="+mn-ea"/>
              <a:cs typeface="Arial" pitchFamily="34" charset="0"/>
            </a:rPr>
            <a:t>	</a:t>
          </a:r>
        </a:p>
        <a:p>
          <a:r>
            <a:rPr lang="fr-FR" sz="900" b="1">
              <a:solidFill>
                <a:srgbClr val="0070C0"/>
              </a:solidFill>
              <a:effectLst/>
              <a:latin typeface="Arial" pitchFamily="34" charset="0"/>
              <a:ea typeface="+mn-ea"/>
              <a:cs typeface="Arial" pitchFamily="34" charset="0"/>
            </a:rPr>
            <a:t>Utilisateurs :	</a:t>
          </a:r>
          <a:endParaRPr lang="fr-FR" sz="900">
            <a:solidFill>
              <a:srgbClr val="0070C0"/>
            </a:solidFill>
            <a:effectLst/>
            <a:latin typeface="Arial" pitchFamily="34" charset="0"/>
            <a:ea typeface="+mn-ea"/>
            <a:cs typeface="Arial" pitchFamily="34" charset="0"/>
          </a:endParaRPr>
        </a:p>
        <a:p>
          <a:endParaRPr lang="fr-FR" sz="900">
            <a:solidFill>
              <a:schemeClr val="dk1"/>
            </a:solidFill>
            <a:effectLst/>
            <a:latin typeface="Arial" pitchFamily="34" charset="0"/>
            <a:ea typeface="+mn-ea"/>
            <a:cs typeface="Arial" pitchFamily="34" charset="0"/>
          </a:endParaRPr>
        </a:p>
        <a:p>
          <a:r>
            <a:rPr lang="fr-FR" sz="900">
              <a:solidFill>
                <a:schemeClr val="dk1"/>
              </a:solidFill>
              <a:effectLst/>
              <a:latin typeface="Arial" pitchFamily="34" charset="0"/>
              <a:ea typeface="+mn-ea"/>
              <a:cs typeface="Arial" pitchFamily="34" charset="0"/>
            </a:rPr>
            <a:t>- responsables de l'approvisionnement des chaufferies bois (maître d'ouvrage ou exploitant)	</a:t>
          </a:r>
        </a:p>
        <a:p>
          <a:r>
            <a:rPr lang="fr-FR" sz="900">
              <a:solidFill>
                <a:schemeClr val="dk1"/>
              </a:solidFill>
              <a:effectLst/>
              <a:latin typeface="Arial" pitchFamily="34" charset="0"/>
              <a:ea typeface="+mn-ea"/>
              <a:cs typeface="Arial" pitchFamily="34" charset="0"/>
            </a:rPr>
            <a:t>- fournisseurs de biocombustibles	</a:t>
          </a:r>
        </a:p>
        <a:p>
          <a:r>
            <a:rPr lang="fr-FR" sz="900">
              <a:solidFill>
                <a:schemeClr val="dk1"/>
              </a:solidFill>
              <a:effectLst/>
              <a:latin typeface="Arial" pitchFamily="34" charset="0"/>
              <a:ea typeface="+mn-ea"/>
              <a:cs typeface="Arial" pitchFamily="34" charset="0"/>
            </a:rPr>
            <a:t>- cellule biomasse (avis sur les projets)	</a:t>
          </a:r>
        </a:p>
        <a:p>
          <a:endParaRPr lang="fr-FR" sz="900">
            <a:solidFill>
              <a:schemeClr val="dk1"/>
            </a:solidFill>
            <a:effectLst/>
            <a:latin typeface="Arial" pitchFamily="34" charset="0"/>
            <a:ea typeface="+mn-ea"/>
            <a:cs typeface="Arial" pitchFamily="34" charset="0"/>
          </a:endParaRPr>
        </a:p>
        <a:p>
          <a:r>
            <a:rPr lang="fr-FR" sz="900">
              <a:solidFill>
                <a:schemeClr val="dk1"/>
              </a:solidFill>
              <a:effectLst/>
              <a:latin typeface="Arial" pitchFamily="34" charset="0"/>
              <a:ea typeface="+mn-ea"/>
              <a:cs typeface="Arial" pitchFamily="34" charset="0"/>
            </a:rPr>
            <a:t>	</a:t>
          </a:r>
        </a:p>
        <a:p>
          <a:r>
            <a:rPr lang="fr-FR" sz="900" b="1">
              <a:solidFill>
                <a:srgbClr val="0070C0"/>
              </a:solidFill>
              <a:effectLst/>
              <a:latin typeface="Arial" pitchFamily="34" charset="0"/>
              <a:ea typeface="+mn-ea"/>
              <a:cs typeface="Arial" pitchFamily="34" charset="0"/>
            </a:rPr>
            <a:t>Principe : 	</a:t>
          </a:r>
          <a:endParaRPr lang="fr-FR" sz="900">
            <a:solidFill>
              <a:srgbClr val="0070C0"/>
            </a:solidFill>
            <a:effectLst/>
            <a:latin typeface="Arial" pitchFamily="34" charset="0"/>
            <a:ea typeface="+mn-ea"/>
            <a:cs typeface="Arial" pitchFamily="34" charset="0"/>
          </a:endParaRPr>
        </a:p>
        <a:p>
          <a:endParaRPr lang="fr-FR" sz="900">
            <a:solidFill>
              <a:schemeClr val="dk1"/>
            </a:solidFill>
            <a:effectLst/>
            <a:latin typeface="Arial" pitchFamily="34" charset="0"/>
            <a:ea typeface="+mn-ea"/>
            <a:cs typeface="Arial" pitchFamily="34" charset="0"/>
          </a:endParaRPr>
        </a:p>
        <a:p>
          <a:r>
            <a:rPr lang="fr-FR" sz="900">
              <a:solidFill>
                <a:schemeClr val="dk1"/>
              </a:solidFill>
              <a:effectLst/>
              <a:latin typeface="Arial" pitchFamily="34" charset="0"/>
              <a:ea typeface="+mn-ea"/>
              <a:cs typeface="Arial" pitchFamily="34" charset="0"/>
            </a:rPr>
            <a:t>Evaluation de 7 critères définis pour couvrir les champs principaux du développement durable. Le niveau d'exigence de chaque opérateur (et d'information à disposition) pouvant être variable, seul le niveau de risque global est mesuré pour chaque indicateur.	</a:t>
          </a:r>
        </a:p>
        <a:p>
          <a:endParaRPr lang="fr-FR" sz="900">
            <a:solidFill>
              <a:schemeClr val="dk1"/>
            </a:solidFill>
            <a:effectLst/>
            <a:latin typeface="Arial" pitchFamily="34" charset="0"/>
            <a:ea typeface="+mn-ea"/>
            <a:cs typeface="Arial" pitchFamily="34" charset="0"/>
          </a:endParaRPr>
        </a:p>
        <a:p>
          <a:r>
            <a:rPr lang="fr-FR" sz="900" b="1">
              <a:solidFill>
                <a:schemeClr val="dk1"/>
              </a:solidFill>
              <a:effectLst/>
              <a:latin typeface="Arial" pitchFamily="34" charset="0"/>
              <a:ea typeface="+mn-ea"/>
              <a:cs typeface="Arial" pitchFamily="34" charset="0"/>
            </a:rPr>
            <a:t>1 fichier = 1 approvisionnement avec 1 fournisseur et 1 lieu de récolte du bois</a:t>
          </a:r>
          <a:endParaRPr lang="fr-FR" sz="900" b="1">
            <a:latin typeface="Arial" pitchFamily="34" charset="0"/>
            <a:cs typeface="Arial" pitchFamily="34" charset="0"/>
          </a:endParaRPr>
        </a:p>
      </xdr:txBody>
    </xdr:sp>
    <xdr:clientData/>
  </xdr:twoCellAnchor>
  <xdr:twoCellAnchor editAs="oneCell">
    <xdr:from>
      <xdr:col>4</xdr:col>
      <xdr:colOff>742950</xdr:colOff>
      <xdr:row>9</xdr:row>
      <xdr:rowOff>19050</xdr:rowOff>
    </xdr:from>
    <xdr:to>
      <xdr:col>5</xdr:col>
      <xdr:colOff>9296</xdr:colOff>
      <xdr:row>13</xdr:row>
      <xdr:rowOff>98069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1609725"/>
          <a:ext cx="942746" cy="755294"/>
        </a:xfrm>
        <a:prstGeom prst="rect">
          <a:avLst/>
        </a:prstGeom>
      </xdr:spPr>
    </xdr:pic>
    <xdr:clientData/>
  </xdr:twoCellAnchor>
</xdr:wsDr>
</file>

<file path=xl/tables/table1.xml><?xml version="1.0" encoding="utf-8"?>
<table xmlns="http://schemas.openxmlformats.org/spreadsheetml/2006/main" id="2" name="Tableau2" displayName="Tableau2" ref="B1:I19" totalsRowShown="0" headerRowDxfId="26" headerRowBorderDxfId="25" headerRowCellStyle="Normal 2">
  <autoFilter ref="B1:I19"/>
  <sortState ref="B2:I19">
    <sortCondition ref="F1:F19"/>
  </sortState>
  <tableColumns count="8">
    <tableColumn id="2" name="Localité du fournisseur" dataDxfId="24" dataCellStyle="Normal 2"/>
    <tableColumn id="1" name="Pays de récolte" dataDxfId="23" dataCellStyle="Normal 2"/>
    <tableColumn id="5" name="Produit certifié durable ou légal (compatible RBUE)" dataDxfId="22" dataCellStyle="Normal 2"/>
    <tableColumn id="3" name="Référence" dataDxfId="21" dataCellStyle="Normal 2">
      <calculatedColumnFormula>CONCATENATE(B2," ; ",C2," ; ",D2)</calculatedColumnFormula>
    </tableColumn>
    <tableColumn id="6" name="Suite legalité" dataDxfId="20" dataCellStyle="Normal 2"/>
    <tableColumn id="4" name="Suite legalité_commentaire" dataDxfId="19" dataCellStyle="Normal 2"/>
    <tableColumn id="7" name="Suite" dataDxfId="18" dataCellStyle="Normal 2"/>
    <tableColumn id="8" name="Colonne1" dataDxfId="17" dataCellStyle="Normal 2"/>
  </tableColumns>
  <tableStyleInfo showFirstColumn="0" showLastColumn="0" showRowStripes="1" showColumnStripes="0"/>
</table>
</file>

<file path=xl/tables/table2.xml><?xml version="1.0" encoding="utf-8"?>
<table xmlns="http://schemas.openxmlformats.org/spreadsheetml/2006/main" id="3" name="Tableau3" displayName="Tableau3" ref="B23:G50" insertRowShift="1" totalsRowShown="0" headerRowDxfId="16" dataDxfId="14" headerRowBorderDxfId="15" totalsRowBorderDxfId="13">
  <tableColumns count="6">
    <tableColumn id="2" name="industrie" dataDxfId="12"/>
    <tableColumn id="7" name="populations locales" dataDxfId="11"/>
    <tableColumn id="3" name="Garanties" dataDxfId="10"/>
    <tableColumn id="1" name="Référence" dataDxfId="9">
      <calculatedColumnFormula>CONCATENATE(B24,C24,D24)</calculatedColumnFormula>
    </tableColumn>
    <tableColumn id="5" name="Commentaire" dataDxfId="8"/>
    <tableColumn id="6" name="niveau de risque" dataDxfId="7"/>
  </tableColumns>
  <tableStyleInfo showFirstColumn="0" showLastColumn="0" showRowStripes="1" showColumnStripes="0"/>
</table>
</file>

<file path=xl/tables/table3.xml><?xml version="1.0" encoding="utf-8"?>
<table xmlns="http://schemas.openxmlformats.org/spreadsheetml/2006/main" id="4" name="Tableau35" displayName="Tableau35" ref="D63:F72" totalsRowShown="0" headerRowDxfId="6" headerRowBorderDxfId="5" tableBorderDxfId="4" totalsRowBorderDxfId="3" headerRowCellStyle="Normal 2">
  <tableColumns count="3">
    <tableColumn id="1" name="L'approvisionnement &quot;local&quot; (régional/ national) est-il comparativement moins intéressant" dataDxfId="2" dataCellStyle="Normal 2"/>
    <tableColumn id="2" name="Référence" dataDxfId="1" dataCellStyle="Normal 2">
      <calculatedColumnFormula>CONCATENATE(C64,D64)</calculatedColumnFormula>
    </tableColumn>
    <tableColumn id="3" name="Commentaire" dataDxfId="0" dataCellStyle="Normal 2"/>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lo.org/global/lang--fr" TargetMode="External"/><Relationship Id="rId1" Type="http://schemas.openxmlformats.org/officeDocument/2006/relationships/hyperlink" Target="http://www.ilo.org/global/lang--fr" TargetMode="Externa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llegal-logging.org/" TargetMode="External"/><Relationship Id="rId2" Type="http://schemas.openxmlformats.org/officeDocument/2006/relationships/hyperlink" Target="http://www.illegal-logging.org/" TargetMode="External"/><Relationship Id="rId1" Type="http://schemas.openxmlformats.org/officeDocument/2006/relationships/hyperlink" Target="http://www.illegal-logging.org/" TargetMode="External"/><Relationship Id="rId6" Type="http://schemas.openxmlformats.org/officeDocument/2006/relationships/vmlDrawing" Target="../drawings/vmlDrawing3.vml"/><Relationship Id="rId5" Type="http://schemas.openxmlformats.org/officeDocument/2006/relationships/printerSettings" Target="../printerSettings/printerSettings5.bin"/><Relationship Id="rId4" Type="http://schemas.openxmlformats.org/officeDocument/2006/relationships/hyperlink" Target="http://www.transparency.org/"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biodiv.org/world/parties.asp" TargetMode="External"/><Relationship Id="rId2" Type="http://schemas.openxmlformats.org/officeDocument/2006/relationships/hyperlink" Target="http://www.intactforests.org/world.map.html" TargetMode="External"/><Relationship Id="rId1" Type="http://schemas.openxmlformats.org/officeDocument/2006/relationships/hyperlink" Target="http://www.illegal-logging.org/" TargetMode="External"/><Relationship Id="rId6" Type="http://schemas.openxmlformats.org/officeDocument/2006/relationships/vmlDrawing" Target="../drawings/vmlDrawing5.vml"/><Relationship Id="rId5" Type="http://schemas.openxmlformats.org/officeDocument/2006/relationships/printerSettings" Target="../printerSettings/printerSettings7.bin"/><Relationship Id="rId4" Type="http://schemas.openxmlformats.org/officeDocument/2006/relationships/hyperlink" Target="http://gra.nepcon.ne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8"/>
  <sheetViews>
    <sheetView showGridLines="0" zoomScale="70" zoomScaleNormal="70" zoomScaleSheetLayoutView="85" workbookViewId="0">
      <selection activeCell="B13" sqref="B13"/>
    </sheetView>
  </sheetViews>
  <sheetFormatPr baseColWidth="10" defaultRowHeight="14.25" x14ac:dyDescent="0.2"/>
  <cols>
    <col min="1" max="1" width="8.85546875" style="109" customWidth="1"/>
    <col min="2" max="2" width="86.5703125" style="136" customWidth="1"/>
    <col min="3" max="3" width="3.28515625" style="109" customWidth="1"/>
    <col min="4" max="4" width="18.85546875" style="109" bestFit="1" customWidth="1"/>
    <col min="5" max="16384" width="11.42578125" style="109"/>
  </cols>
  <sheetData>
    <row r="1" spans="1:3" x14ac:dyDescent="0.2">
      <c r="A1" s="136"/>
      <c r="B1" s="146"/>
      <c r="C1" s="136"/>
    </row>
    <row r="2" spans="1:3" x14ac:dyDescent="0.2">
      <c r="A2" s="136"/>
      <c r="B2" s="146"/>
      <c r="C2" s="136"/>
    </row>
    <row r="3" spans="1:3" x14ac:dyDescent="0.2">
      <c r="A3" s="136"/>
      <c r="B3" s="146"/>
      <c r="C3" s="136"/>
    </row>
    <row r="4" spans="1:3" x14ac:dyDescent="0.2">
      <c r="A4" s="136"/>
      <c r="B4" s="146"/>
      <c r="C4" s="136"/>
    </row>
    <row r="5" spans="1:3" x14ac:dyDescent="0.2">
      <c r="A5" s="136"/>
      <c r="B5" s="146"/>
      <c r="C5" s="136"/>
    </row>
    <row r="6" spans="1:3" x14ac:dyDescent="0.2">
      <c r="A6" s="136"/>
      <c r="B6" s="146"/>
      <c r="C6" s="136"/>
    </row>
    <row r="7" spans="1:3" x14ac:dyDescent="0.2">
      <c r="A7" s="136"/>
      <c r="B7" s="146"/>
      <c r="C7" s="136"/>
    </row>
    <row r="8" spans="1:3" x14ac:dyDescent="0.2">
      <c r="A8" s="136"/>
      <c r="B8" s="146"/>
      <c r="C8" s="136"/>
    </row>
    <row r="9" spans="1:3" ht="46.5" x14ac:dyDescent="0.35">
      <c r="A9" s="136"/>
      <c r="B9" s="144" t="s">
        <v>487</v>
      </c>
      <c r="C9" s="136"/>
    </row>
    <row r="10" spans="1:3" x14ac:dyDescent="0.2">
      <c r="A10" s="136"/>
      <c r="B10" s="146"/>
      <c r="C10" s="136"/>
    </row>
    <row r="11" spans="1:3" ht="18" x14ac:dyDescent="0.25">
      <c r="A11" s="136"/>
      <c r="B11" s="145" t="s">
        <v>510</v>
      </c>
      <c r="C11" s="136"/>
    </row>
    <row r="12" spans="1:3" x14ac:dyDescent="0.2">
      <c r="A12" s="136"/>
      <c r="B12" s="109"/>
      <c r="C12" s="136"/>
    </row>
    <row r="13" spans="1:3" x14ac:dyDescent="0.2">
      <c r="B13" s="163"/>
    </row>
    <row r="14" spans="1:3" x14ac:dyDescent="0.2">
      <c r="B14" s="163"/>
    </row>
    <row r="15" spans="1:3" x14ac:dyDescent="0.2">
      <c r="B15" s="164"/>
    </row>
    <row r="16" spans="1:3" x14ac:dyDescent="0.2">
      <c r="B16" s="163"/>
    </row>
    <row r="17" spans="1:3" x14ac:dyDescent="0.2">
      <c r="A17" s="136"/>
      <c r="B17" s="164"/>
      <c r="C17" s="136"/>
    </row>
    <row r="18" spans="1:3" x14ac:dyDescent="0.2">
      <c r="A18" s="136"/>
      <c r="B18" s="164"/>
      <c r="C18" s="136"/>
    </row>
    <row r="19" spans="1:3" x14ac:dyDescent="0.2">
      <c r="A19" s="136"/>
      <c r="B19" s="163"/>
      <c r="C19" s="136"/>
    </row>
    <row r="20" spans="1:3" x14ac:dyDescent="0.2">
      <c r="A20" s="136"/>
      <c r="C20" s="136"/>
    </row>
    <row r="21" spans="1:3" x14ac:dyDescent="0.2">
      <c r="A21" s="136"/>
      <c r="C21" s="136"/>
    </row>
    <row r="22" spans="1:3" x14ac:dyDescent="0.2">
      <c r="A22" s="136"/>
      <c r="C22" s="136"/>
    </row>
    <row r="23" spans="1:3" x14ac:dyDescent="0.2">
      <c r="A23" s="136"/>
      <c r="C23" s="136"/>
    </row>
    <row r="24" spans="1:3" x14ac:dyDescent="0.2">
      <c r="A24" s="136"/>
      <c r="B24" s="147" t="s">
        <v>488</v>
      </c>
      <c r="C24" s="136"/>
    </row>
    <row r="25" spans="1:3" x14ac:dyDescent="0.2">
      <c r="A25" s="136"/>
      <c r="B25" s="147"/>
      <c r="C25" s="136"/>
    </row>
    <row r="26" spans="1:3" ht="29.25" x14ac:dyDescent="0.2">
      <c r="B26" s="148" t="s">
        <v>489</v>
      </c>
    </row>
    <row r="46" spans="2:4" x14ac:dyDescent="0.2">
      <c r="B46" s="463" t="str">
        <f>CONCATENATE("Evaluation pour : ",Accueil!C23)</f>
        <v>Evaluation pour : NOM entreprise / projet</v>
      </c>
      <c r="C46" s="463"/>
    </row>
    <row r="47" spans="2:4" x14ac:dyDescent="0.2">
      <c r="B47" s="461" t="str">
        <f>+CONCATENATE("Evaluation réalisée par : ",Accueil!C24)</f>
        <v>Evaluation réalisée par : NOM Prénom (évaluateur)</v>
      </c>
      <c r="C47" s="461"/>
    </row>
    <row r="48" spans="2:4" s="432" customFormat="1" ht="12" x14ac:dyDescent="0.2">
      <c r="B48" s="462">
        <f ca="1">TODAY()</f>
        <v>41372</v>
      </c>
      <c r="C48" s="462"/>
      <c r="D48" s="433"/>
    </row>
  </sheetData>
  <sheetProtection password="C644" sheet="1" objects="1" scenarios="1" selectLockedCells="1"/>
  <mergeCells count="3">
    <mergeCell ref="B47:C47"/>
    <mergeCell ref="B48:C48"/>
    <mergeCell ref="B46:C46"/>
  </mergeCells>
  <phoneticPr fontId="32" type="noConversion"/>
  <pageMargins left="0.25" right="0.25" top="0.75" bottom="0.75" header="0.3" footer="0.3"/>
  <pageSetup paperSize="9"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1"/>
  <sheetViews>
    <sheetView showGridLines="0" zoomScaleNormal="100" zoomScaleSheetLayoutView="115" workbookViewId="0">
      <selection activeCell="A2" sqref="A2:C2"/>
    </sheetView>
  </sheetViews>
  <sheetFormatPr baseColWidth="10" defaultRowHeight="15" x14ac:dyDescent="0.25"/>
  <cols>
    <col min="1" max="1" width="2.85546875" style="25" bestFit="1" customWidth="1"/>
    <col min="2" max="2" width="66.28515625" style="25" customWidth="1"/>
    <col min="3" max="3" width="29.42578125" style="1" customWidth="1"/>
    <col min="4" max="4" width="12.7109375" style="25" customWidth="1"/>
    <col min="5" max="5" width="19.7109375" style="57" hidden="1" customWidth="1"/>
    <col min="6" max="6" width="6.42578125" style="50" hidden="1" customWidth="1"/>
    <col min="7" max="7" width="11.42578125" style="29" hidden="1" customWidth="1"/>
    <col min="8" max="8" width="11.42578125" style="78"/>
    <col min="9" max="13" width="11.42578125" style="29"/>
    <col min="14" max="15" width="11.42578125" style="29" hidden="1" customWidth="1"/>
    <col min="16" max="16384" width="11.42578125" style="29"/>
  </cols>
  <sheetData>
    <row r="1" spans="1:15" s="191" customFormat="1" ht="24" thickBot="1" x14ac:dyDescent="0.4">
      <c r="A1" s="478" t="s">
        <v>533</v>
      </c>
      <c r="B1" s="478"/>
      <c r="C1" s="342" t="str">
        <f>IF(SUM(F7:F14)&gt;3,"Risque faible",IF(F7=1,"Risque moyen","Risque fort"))</f>
        <v>Risque fort</v>
      </c>
      <c r="D1" s="201"/>
    </row>
    <row r="2" spans="1:15" s="216" customFormat="1" ht="97.5" customHeight="1" x14ac:dyDescent="0.25">
      <c r="A2" s="480" t="s">
        <v>349</v>
      </c>
      <c r="B2" s="480"/>
      <c r="C2" s="480"/>
      <c r="D2" s="255"/>
      <c r="H2" s="479" t="s">
        <v>561</v>
      </c>
      <c r="I2" s="479"/>
      <c r="J2" s="479"/>
      <c r="K2" s="479"/>
      <c r="L2" s="479"/>
    </row>
    <row r="3" spans="1:15" x14ac:dyDescent="0.25">
      <c r="D3" s="36"/>
      <c r="E3" s="56"/>
      <c r="F3" s="81" t="s">
        <v>2</v>
      </c>
      <c r="H3" s="479"/>
      <c r="I3" s="479"/>
      <c r="J3" s="479"/>
      <c r="K3" s="479"/>
      <c r="L3" s="479"/>
    </row>
    <row r="4" spans="1:15" x14ac:dyDescent="0.25">
      <c r="D4" s="36"/>
      <c r="E4" s="56"/>
      <c r="F4" s="81"/>
      <c r="H4" s="479"/>
      <c r="I4" s="479"/>
      <c r="J4" s="479"/>
      <c r="K4" s="479"/>
      <c r="L4" s="479"/>
    </row>
    <row r="5" spans="1:15" s="259" customFormat="1" ht="18" x14ac:dyDescent="0.25">
      <c r="A5" s="171" t="s">
        <v>493</v>
      </c>
      <c r="B5" s="269" t="s">
        <v>500</v>
      </c>
      <c r="C5" s="270" t="str">
        <f>CONCATENATE(C26," ",D26," ",E26)</f>
        <v xml:space="preserve">  </v>
      </c>
      <c r="D5" s="271"/>
      <c r="E5" s="271"/>
      <c r="F5" s="271"/>
      <c r="G5" s="272"/>
      <c r="H5" s="479"/>
      <c r="I5" s="479"/>
      <c r="J5" s="479"/>
      <c r="K5" s="479"/>
      <c r="L5" s="479"/>
    </row>
    <row r="6" spans="1:15" ht="15.75" thickBot="1" x14ac:dyDescent="0.3">
      <c r="C6" s="58"/>
      <c r="D6" s="26"/>
      <c r="E6" s="76"/>
      <c r="F6" s="82" t="s">
        <v>3</v>
      </c>
      <c r="G6" s="35"/>
      <c r="H6" s="479"/>
      <c r="I6" s="479"/>
      <c r="J6" s="479"/>
      <c r="K6" s="479"/>
      <c r="L6" s="479"/>
    </row>
    <row r="7" spans="1:15" ht="36.75" thickBot="1" x14ac:dyDescent="0.3">
      <c r="B7" s="341" t="s">
        <v>520</v>
      </c>
      <c r="C7" s="258" t="s">
        <v>311</v>
      </c>
      <c r="E7" s="29"/>
      <c r="F7" s="50">
        <f>IF(C7="Oui",7,IF(C7="Non",0,0))</f>
        <v>0</v>
      </c>
      <c r="H7" s="479"/>
      <c r="I7" s="479"/>
      <c r="J7" s="479"/>
      <c r="K7" s="479"/>
      <c r="L7" s="479"/>
      <c r="N7" s="60" t="s">
        <v>422</v>
      </c>
      <c r="O7" s="75"/>
    </row>
    <row r="8" spans="1:15" x14ac:dyDescent="0.25">
      <c r="B8" s="303" t="s">
        <v>438</v>
      </c>
      <c r="C8" s="33"/>
      <c r="E8" s="29"/>
      <c r="F8" s="42"/>
      <c r="H8" s="479"/>
      <c r="I8" s="479"/>
      <c r="J8" s="479"/>
      <c r="K8" s="479"/>
      <c r="L8" s="479"/>
      <c r="N8" s="62" t="s">
        <v>27</v>
      </c>
      <c r="O8" s="62">
        <v>1</v>
      </c>
    </row>
    <row r="9" spans="1:15" ht="15.75" thickBot="1" x14ac:dyDescent="0.3">
      <c r="B9" s="37"/>
      <c r="C9" s="39"/>
      <c r="D9" s="36"/>
      <c r="E9" s="56"/>
      <c r="H9" s="479"/>
      <c r="I9" s="479"/>
      <c r="J9" s="479"/>
      <c r="K9" s="479"/>
      <c r="L9" s="479"/>
    </row>
    <row r="10" spans="1:15" s="30" customFormat="1" ht="24.75" thickBot="1" x14ac:dyDescent="0.3">
      <c r="A10" s="24"/>
      <c r="B10" s="341" t="s">
        <v>24</v>
      </c>
      <c r="C10" s="258" t="s">
        <v>311</v>
      </c>
      <c r="D10" s="36"/>
      <c r="E10" s="56"/>
      <c r="F10" s="50">
        <f>IF(C10="Oui",0,IF(C10="Non",2,0))</f>
        <v>0</v>
      </c>
      <c r="H10" s="479"/>
      <c r="I10" s="479"/>
      <c r="J10" s="479"/>
      <c r="K10" s="479"/>
      <c r="L10" s="479"/>
    </row>
    <row r="11" spans="1:15" s="55" customFormat="1" x14ac:dyDescent="0.25">
      <c r="A11" s="52"/>
      <c r="B11" s="460" t="s">
        <v>501</v>
      </c>
      <c r="C11" s="39"/>
      <c r="D11" s="53"/>
      <c r="E11" s="77"/>
      <c r="F11" s="54"/>
      <c r="H11" s="479"/>
      <c r="I11" s="479"/>
      <c r="J11" s="479"/>
      <c r="K11" s="479"/>
      <c r="L11" s="479"/>
    </row>
    <row r="12" spans="1:15" ht="15.75" thickBot="1" x14ac:dyDescent="0.3">
      <c r="B12" s="32"/>
      <c r="C12" s="38"/>
      <c r="D12" s="36"/>
      <c r="E12" s="56"/>
    </row>
    <row r="13" spans="1:15" s="30" customFormat="1" ht="36.75" thickBot="1" x14ac:dyDescent="0.3">
      <c r="A13" s="24"/>
      <c r="B13" s="341" t="s">
        <v>25</v>
      </c>
      <c r="C13" s="258" t="s">
        <v>311</v>
      </c>
      <c r="D13" s="36"/>
      <c r="E13" s="56"/>
      <c r="F13" s="50">
        <f>IF(C13="Oui",0,IF(C13="Non",2,0))</f>
        <v>0</v>
      </c>
      <c r="H13" s="79"/>
    </row>
    <row r="14" spans="1:15" s="49" customFormat="1" x14ac:dyDescent="0.25">
      <c r="A14" s="48"/>
      <c r="B14" s="460" t="s">
        <v>501</v>
      </c>
      <c r="C14" s="33"/>
      <c r="D14" s="53"/>
      <c r="E14" s="77"/>
      <c r="F14" s="54"/>
      <c r="H14" s="80"/>
    </row>
    <row r="15" spans="1:15" x14ac:dyDescent="0.25">
      <c r="D15" s="36"/>
      <c r="E15" s="56"/>
    </row>
    <row r="16" spans="1:15" ht="42.75" customHeight="1" x14ac:dyDescent="0.25">
      <c r="B16" s="477" t="str">
        <f>IF(SUM(F7:F14)&gt;5,F3,IF(F7=1,F5,F6))</f>
        <v>Des risques que le bois provienne de zones où les droits du travail, les droits des communautés locales ou des populations autochtones ne soient pas respectés ont été identifiés ou n'ont pas été vérifiés.</v>
      </c>
      <c r="C16" s="477"/>
      <c r="D16" s="36"/>
      <c r="E16" s="56"/>
    </row>
    <row r="17" spans="1:10" x14ac:dyDescent="0.25">
      <c r="D17" s="36"/>
      <c r="E17" s="56"/>
    </row>
    <row r="18" spans="1:10" s="259" customFormat="1" ht="18" x14ac:dyDescent="0.25">
      <c r="A18" s="171" t="s">
        <v>493</v>
      </c>
      <c r="B18" s="269" t="s">
        <v>478</v>
      </c>
      <c r="C18" s="270" t="str">
        <f>CONCATENATE(C41," ",D41," ",E41)</f>
        <v xml:space="preserve">  </v>
      </c>
      <c r="D18" s="271"/>
      <c r="E18" s="271"/>
      <c r="F18" s="271"/>
      <c r="G18" s="272"/>
      <c r="H18" s="160"/>
    </row>
    <row r="19" spans="1:10" x14ac:dyDescent="0.25">
      <c r="C19" s="31"/>
      <c r="E19" s="25"/>
      <c r="F19" s="25"/>
      <c r="G19" s="25"/>
      <c r="H19" s="25"/>
      <c r="J19" s="44"/>
    </row>
    <row r="20" spans="1:10" ht="15" customHeight="1" x14ac:dyDescent="0.25">
      <c r="B20" s="471" t="s">
        <v>508</v>
      </c>
      <c r="C20" s="472"/>
      <c r="D20" s="118"/>
      <c r="E20" s="118"/>
      <c r="F20" s="118"/>
      <c r="G20" s="118"/>
      <c r="H20" s="25"/>
      <c r="J20" s="44"/>
    </row>
    <row r="21" spans="1:10" x14ac:dyDescent="0.25">
      <c r="B21" s="473"/>
      <c r="C21" s="474"/>
      <c r="D21" s="118"/>
      <c r="E21" s="118"/>
      <c r="F21" s="118"/>
      <c r="G21" s="118"/>
      <c r="H21" s="25"/>
      <c r="J21" s="44"/>
    </row>
    <row r="22" spans="1:10" x14ac:dyDescent="0.25">
      <c r="B22" s="473"/>
      <c r="C22" s="474"/>
      <c r="D22" s="118"/>
      <c r="E22" s="118"/>
      <c r="F22" s="118"/>
      <c r="G22" s="118"/>
      <c r="H22" s="25"/>
      <c r="J22" s="44"/>
    </row>
    <row r="23" spans="1:10" x14ac:dyDescent="0.25">
      <c r="B23" s="473"/>
      <c r="C23" s="474"/>
      <c r="D23" s="118"/>
      <c r="E23" s="118"/>
      <c r="F23" s="118"/>
      <c r="G23" s="118"/>
      <c r="H23" s="25"/>
      <c r="J23" s="44"/>
    </row>
    <row r="24" spans="1:10" x14ac:dyDescent="0.25">
      <c r="B24" s="473"/>
      <c r="C24" s="474"/>
      <c r="D24" s="118"/>
      <c r="E24" s="118"/>
      <c r="F24" s="118"/>
      <c r="G24" s="118"/>
      <c r="H24" s="25"/>
      <c r="J24" s="44"/>
    </row>
    <row r="25" spans="1:10" x14ac:dyDescent="0.25">
      <c r="B25" s="473"/>
      <c r="C25" s="474"/>
      <c r="D25" s="118"/>
      <c r="E25" s="118"/>
      <c r="F25" s="118"/>
      <c r="G25" s="118"/>
      <c r="H25" s="25"/>
      <c r="J25" s="44"/>
    </row>
    <row r="26" spans="1:10" x14ac:dyDescent="0.25">
      <c r="B26" s="473"/>
      <c r="C26" s="474"/>
      <c r="D26" s="118"/>
      <c r="E26" s="118"/>
      <c r="F26" s="118"/>
      <c r="G26" s="118"/>
      <c r="H26" s="25"/>
      <c r="J26" s="44"/>
    </row>
    <row r="27" spans="1:10" x14ac:dyDescent="0.25">
      <c r="B27" s="473"/>
      <c r="C27" s="474"/>
      <c r="D27" s="118"/>
      <c r="E27" s="118"/>
      <c r="F27" s="118"/>
      <c r="G27" s="118"/>
      <c r="H27" s="25"/>
      <c r="J27" s="44"/>
    </row>
    <row r="28" spans="1:10" x14ac:dyDescent="0.25">
      <c r="B28" s="473"/>
      <c r="C28" s="474"/>
      <c r="D28" s="118"/>
      <c r="E28" s="118"/>
      <c r="F28" s="118"/>
      <c r="G28" s="118"/>
      <c r="H28" s="25"/>
      <c r="J28" s="44"/>
    </row>
    <row r="29" spans="1:10" x14ac:dyDescent="0.25">
      <c r="B29" s="473"/>
      <c r="C29" s="474"/>
      <c r="D29" s="118"/>
      <c r="E29" s="118"/>
      <c r="F29" s="118"/>
      <c r="G29" s="118"/>
      <c r="H29" s="25"/>
      <c r="J29" s="44"/>
    </row>
    <row r="30" spans="1:10" x14ac:dyDescent="0.25">
      <c r="B30" s="473"/>
      <c r="C30" s="474"/>
      <c r="D30" s="118"/>
      <c r="E30" s="118"/>
      <c r="F30" s="118"/>
      <c r="G30" s="118"/>
      <c r="H30" s="25"/>
      <c r="J30" s="44"/>
    </row>
    <row r="31" spans="1:10" x14ac:dyDescent="0.25">
      <c r="B31" s="473"/>
      <c r="C31" s="474"/>
      <c r="D31" s="118"/>
      <c r="E31" s="118"/>
      <c r="F31" s="118"/>
      <c r="G31" s="118"/>
      <c r="H31" s="25"/>
      <c r="J31" s="44"/>
    </row>
    <row r="32" spans="1:10" x14ac:dyDescent="0.25">
      <c r="B32" s="473"/>
      <c r="C32" s="474"/>
      <c r="D32" s="118"/>
      <c r="E32" s="118"/>
      <c r="F32" s="118"/>
      <c r="G32" s="118"/>
      <c r="H32" s="25"/>
      <c r="J32" s="44"/>
    </row>
    <row r="33" spans="2:10" x14ac:dyDescent="0.25">
      <c r="B33" s="473"/>
      <c r="C33" s="474"/>
      <c r="D33" s="118"/>
      <c r="E33" s="118"/>
      <c r="F33" s="118"/>
      <c r="G33" s="118"/>
      <c r="H33" s="25"/>
      <c r="J33" s="44"/>
    </row>
    <row r="34" spans="2:10" x14ac:dyDescent="0.25">
      <c r="B34" s="475"/>
      <c r="C34" s="476"/>
      <c r="D34" s="118"/>
      <c r="E34" s="118"/>
      <c r="F34" s="118"/>
      <c r="G34" s="118"/>
      <c r="H34" s="25"/>
      <c r="J34" s="44"/>
    </row>
    <row r="35" spans="2:10" x14ac:dyDescent="0.25">
      <c r="C35" s="31"/>
      <c r="E35" s="25"/>
      <c r="F35" s="25"/>
      <c r="G35" s="25"/>
      <c r="H35" s="25"/>
      <c r="J35" s="44"/>
    </row>
    <row r="36" spans="2:10" x14ac:dyDescent="0.25">
      <c r="C36" s="25"/>
      <c r="D36" s="36"/>
      <c r="E36" s="56"/>
    </row>
    <row r="37" spans="2:10" x14ac:dyDescent="0.25">
      <c r="D37" s="36"/>
      <c r="E37" s="56"/>
    </row>
    <row r="38" spans="2:10" x14ac:dyDescent="0.25">
      <c r="D38" s="36"/>
      <c r="E38" s="56"/>
    </row>
    <row r="39" spans="2:10" x14ac:dyDescent="0.25">
      <c r="D39" s="36"/>
      <c r="E39" s="56"/>
    </row>
    <row r="40" spans="2:10" x14ac:dyDescent="0.25">
      <c r="D40" s="36"/>
      <c r="E40" s="56"/>
    </row>
    <row r="41" spans="2:10" x14ac:dyDescent="0.25">
      <c r="D41" s="36"/>
      <c r="E41" s="56"/>
    </row>
    <row r="42" spans="2:10" x14ac:dyDescent="0.25">
      <c r="D42" s="36"/>
      <c r="E42" s="56"/>
    </row>
    <row r="43" spans="2:10" x14ac:dyDescent="0.25">
      <c r="D43" s="36"/>
      <c r="E43" s="56"/>
    </row>
    <row r="44" spans="2:10" x14ac:dyDescent="0.25">
      <c r="D44" s="36"/>
      <c r="E44" s="56"/>
    </row>
    <row r="45" spans="2:10" x14ac:dyDescent="0.25">
      <c r="D45" s="36"/>
      <c r="E45" s="56"/>
    </row>
    <row r="46" spans="2:10" x14ac:dyDescent="0.25">
      <c r="D46" s="36"/>
      <c r="E46" s="56"/>
    </row>
    <row r="47" spans="2:10" x14ac:dyDescent="0.25">
      <c r="D47" s="36"/>
      <c r="E47" s="56"/>
    </row>
    <row r="48" spans="2:10" x14ac:dyDescent="0.25">
      <c r="D48" s="36"/>
      <c r="E48" s="56"/>
    </row>
    <row r="49" spans="4:5" x14ac:dyDescent="0.25">
      <c r="D49" s="36"/>
      <c r="E49" s="56"/>
    </row>
    <row r="50" spans="4:5" x14ac:dyDescent="0.25">
      <c r="D50" s="36"/>
      <c r="E50" s="56"/>
    </row>
    <row r="51" spans="4:5" x14ac:dyDescent="0.25">
      <c r="D51" s="36"/>
      <c r="E51" s="56"/>
    </row>
    <row r="52" spans="4:5" x14ac:dyDescent="0.25">
      <c r="D52" s="36"/>
      <c r="E52" s="56"/>
    </row>
    <row r="53" spans="4:5" x14ac:dyDescent="0.25">
      <c r="D53" s="36"/>
      <c r="E53" s="56"/>
    </row>
    <row r="54" spans="4:5" x14ac:dyDescent="0.25">
      <c r="D54" s="36"/>
      <c r="E54" s="56"/>
    </row>
    <row r="55" spans="4:5" x14ac:dyDescent="0.25">
      <c r="D55" s="36"/>
      <c r="E55" s="56"/>
    </row>
    <row r="56" spans="4:5" x14ac:dyDescent="0.25">
      <c r="D56" s="36"/>
      <c r="E56" s="56"/>
    </row>
    <row r="57" spans="4:5" x14ac:dyDescent="0.25">
      <c r="D57" s="36"/>
      <c r="E57" s="56"/>
    </row>
    <row r="58" spans="4:5" x14ac:dyDescent="0.25">
      <c r="D58" s="36"/>
      <c r="E58" s="56"/>
    </row>
    <row r="59" spans="4:5" x14ac:dyDescent="0.25">
      <c r="D59" s="36"/>
      <c r="E59" s="56"/>
    </row>
    <row r="60" spans="4:5" x14ac:dyDescent="0.25">
      <c r="D60" s="36"/>
      <c r="E60" s="56"/>
    </row>
    <row r="61" spans="4:5" x14ac:dyDescent="0.25">
      <c r="D61" s="36"/>
      <c r="E61" s="56"/>
    </row>
    <row r="62" spans="4:5" x14ac:dyDescent="0.25">
      <c r="D62" s="36"/>
      <c r="E62" s="56"/>
    </row>
    <row r="63" spans="4:5" x14ac:dyDescent="0.25">
      <c r="D63" s="36"/>
      <c r="E63" s="56"/>
    </row>
    <row r="64" spans="4:5" x14ac:dyDescent="0.25">
      <c r="D64" s="36"/>
      <c r="E64" s="56"/>
    </row>
    <row r="65" spans="4:5" x14ac:dyDescent="0.25">
      <c r="D65" s="36"/>
      <c r="E65" s="56"/>
    </row>
    <row r="66" spans="4:5" x14ac:dyDescent="0.25">
      <c r="D66" s="36"/>
      <c r="E66" s="56"/>
    </row>
    <row r="67" spans="4:5" x14ac:dyDescent="0.25">
      <c r="D67" s="36"/>
      <c r="E67" s="56"/>
    </row>
    <row r="68" spans="4:5" x14ac:dyDescent="0.25">
      <c r="D68" s="36"/>
      <c r="E68" s="56"/>
    </row>
    <row r="69" spans="4:5" x14ac:dyDescent="0.25">
      <c r="D69" s="36"/>
      <c r="E69" s="56"/>
    </row>
    <row r="70" spans="4:5" x14ac:dyDescent="0.25">
      <c r="D70" s="36"/>
      <c r="E70" s="56"/>
    </row>
    <row r="71" spans="4:5" x14ac:dyDescent="0.25">
      <c r="D71" s="36"/>
      <c r="E71" s="56"/>
    </row>
    <row r="72" spans="4:5" x14ac:dyDescent="0.25">
      <c r="D72" s="36"/>
      <c r="E72" s="56"/>
    </row>
    <row r="73" spans="4:5" x14ac:dyDescent="0.25">
      <c r="D73" s="36"/>
      <c r="E73" s="56"/>
    </row>
    <row r="74" spans="4:5" x14ac:dyDescent="0.25">
      <c r="D74" s="36"/>
      <c r="E74" s="56"/>
    </row>
    <row r="75" spans="4:5" x14ac:dyDescent="0.25">
      <c r="D75" s="36"/>
      <c r="E75" s="56"/>
    </row>
    <row r="76" spans="4:5" x14ac:dyDescent="0.25">
      <c r="D76" s="36"/>
      <c r="E76" s="56"/>
    </row>
    <row r="77" spans="4:5" x14ac:dyDescent="0.25">
      <c r="D77" s="36"/>
      <c r="E77" s="56"/>
    </row>
    <row r="78" spans="4:5" x14ac:dyDescent="0.25">
      <c r="D78" s="36"/>
      <c r="E78" s="56"/>
    </row>
    <row r="79" spans="4:5" x14ac:dyDescent="0.25">
      <c r="D79" s="36"/>
      <c r="E79" s="56"/>
    </row>
    <row r="80" spans="4:5" x14ac:dyDescent="0.25">
      <c r="D80" s="36"/>
      <c r="E80" s="56"/>
    </row>
    <row r="81" spans="4:5" x14ac:dyDescent="0.25">
      <c r="E81" s="56"/>
    </row>
    <row r="82" spans="4:5" x14ac:dyDescent="0.25">
      <c r="D82" s="36"/>
      <c r="E82" s="56"/>
    </row>
    <row r="83" spans="4:5" x14ac:dyDescent="0.25">
      <c r="D83" s="36"/>
      <c r="E83" s="56"/>
    </row>
    <row r="84" spans="4:5" x14ac:dyDescent="0.25">
      <c r="D84" s="36"/>
      <c r="E84" s="56"/>
    </row>
    <row r="85" spans="4:5" x14ac:dyDescent="0.25">
      <c r="D85" s="36"/>
      <c r="E85" s="56"/>
    </row>
    <row r="86" spans="4:5" x14ac:dyDescent="0.25">
      <c r="D86" s="36"/>
      <c r="E86" s="56"/>
    </row>
    <row r="87" spans="4:5" x14ac:dyDescent="0.25">
      <c r="D87" s="36"/>
      <c r="E87" s="56"/>
    </row>
    <row r="88" spans="4:5" x14ac:dyDescent="0.25">
      <c r="D88" s="36"/>
      <c r="E88" s="56"/>
    </row>
    <row r="89" spans="4:5" x14ac:dyDescent="0.25">
      <c r="D89" s="36"/>
      <c r="E89" s="56"/>
    </row>
    <row r="90" spans="4:5" x14ac:dyDescent="0.25">
      <c r="D90" s="36"/>
      <c r="E90" s="56"/>
    </row>
    <row r="91" spans="4:5" x14ac:dyDescent="0.25">
      <c r="D91" s="36"/>
      <c r="E91" s="56"/>
    </row>
  </sheetData>
  <sheetProtection selectLockedCells="1"/>
  <mergeCells count="5">
    <mergeCell ref="B20:C34"/>
    <mergeCell ref="A1:B1"/>
    <mergeCell ref="B16:C16"/>
    <mergeCell ref="H2:L11"/>
    <mergeCell ref="A2:C2"/>
  </mergeCells>
  <phoneticPr fontId="32" type="noConversion"/>
  <conditionalFormatting sqref="B11">
    <cfRule type="expression" dxfId="28" priority="2" stopIfTrue="1">
      <formula>$C$22="Non applicable"</formula>
    </cfRule>
  </conditionalFormatting>
  <conditionalFormatting sqref="B14">
    <cfRule type="expression" dxfId="27" priority="1" stopIfTrue="1">
      <formula>$C$22="Non applicable"</formula>
    </cfRule>
  </conditionalFormatting>
  <dataValidations count="1">
    <dataValidation type="list" allowBlank="1" showInputMessage="1" showErrorMessage="1" sqref="C10 C7 C13">
      <formula1>Liste_oui_non_NSP</formula1>
    </dataValidation>
  </dataValidations>
  <hyperlinks>
    <hyperlink ref="B11" r:id="rId1"/>
    <hyperlink ref="B14" r:id="rId2"/>
  </hyperlinks>
  <pageMargins left="0.25" right="0.25" top="0.75" bottom="0.75" header="0.3" footer="0.3"/>
  <pageSetup paperSize="9" fitToHeight="2" orientation="portrait" r:id="rId3"/>
  <headerFooter>
    <oddHeader>&amp;CGrille d'évaluation de la durabilité de produits bois énergie d'importation</oddHeader>
    <oddFooter>&amp;L&amp;8ADEME Pays de la Loire&amp;C&amp;8BLEZAT CONSULTING &amp; AGENCE MTDA&amp;R&amp;8&amp;D / &amp;T</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6"/>
  <sheetViews>
    <sheetView showGridLines="0" zoomScale="85" zoomScaleNormal="85" zoomScaleSheetLayoutView="100" workbookViewId="0">
      <selection activeCell="B45" sqref="B45:F59"/>
    </sheetView>
  </sheetViews>
  <sheetFormatPr baseColWidth="10" defaultRowHeight="14.25" x14ac:dyDescent="0.25"/>
  <cols>
    <col min="1" max="1" width="5.42578125" style="309" customWidth="1"/>
    <col min="2" max="2" width="10" style="309" customWidth="1"/>
    <col min="3" max="4" width="32.28515625" style="309" customWidth="1"/>
    <col min="5" max="5" width="1.85546875" style="312" customWidth="1"/>
    <col min="6" max="6" width="14.7109375" style="311" customWidth="1"/>
    <col min="7" max="7" width="11.42578125" style="309"/>
    <col min="8" max="8" width="33.42578125" style="309" hidden="1" customWidth="1"/>
    <col min="9" max="16384" width="11.42578125" style="309"/>
  </cols>
  <sheetData>
    <row r="2" spans="1:10" s="320" customFormat="1" ht="21" customHeight="1" x14ac:dyDescent="0.25">
      <c r="A2" s="318"/>
      <c r="B2" s="501" t="s">
        <v>543</v>
      </c>
      <c r="C2" s="501"/>
      <c r="D2" s="501"/>
      <c r="E2" s="501"/>
      <c r="F2" s="501"/>
      <c r="G2" s="319"/>
      <c r="H2" s="319"/>
      <c r="I2" s="319"/>
      <c r="J2" s="319"/>
    </row>
    <row r="3" spans="1:10" x14ac:dyDescent="0.25">
      <c r="E3" s="310"/>
    </row>
    <row r="4" spans="1:10" s="343" customFormat="1" x14ac:dyDescent="0.25">
      <c r="B4" s="496" t="s">
        <v>439</v>
      </c>
      <c r="C4" s="496"/>
      <c r="D4" s="496"/>
      <c r="E4" s="344"/>
      <c r="F4" s="512" t="s">
        <v>418</v>
      </c>
    </row>
    <row r="5" spans="1:10" s="312" customFormat="1" x14ac:dyDescent="0.25">
      <c r="B5" s="43"/>
      <c r="C5" s="327" t="str">
        <f>Accueil!B26</f>
        <v>Pays de récolte du bois</v>
      </c>
      <c r="D5" s="328" t="str">
        <f>Accueil!C26</f>
        <v xml:space="preserve"> Ne sait pas</v>
      </c>
      <c r="E5" s="268"/>
      <c r="F5" s="513"/>
    </row>
    <row r="6" spans="1:10" s="312" customFormat="1" x14ac:dyDescent="0.25">
      <c r="B6" s="43"/>
      <c r="C6" s="329" t="str">
        <f>Accueil!B27</f>
        <v>Localisation du fournisseur</v>
      </c>
      <c r="D6" s="330" t="str">
        <f>Accueil!C27</f>
        <v xml:space="preserve"> Ne sait pas</v>
      </c>
      <c r="E6" s="268"/>
      <c r="F6" s="513"/>
    </row>
    <row r="7" spans="1:10" s="312" customFormat="1" x14ac:dyDescent="0.25">
      <c r="B7" s="43"/>
      <c r="C7" s="329" t="str">
        <f>Accueil!B28</f>
        <v>Type(s) de biocombustible</v>
      </c>
      <c r="D7" s="330" t="str">
        <f>Accueil!C28</f>
        <v>Type de biocombustible</v>
      </c>
      <c r="E7" s="268"/>
      <c r="F7" s="513"/>
    </row>
    <row r="8" spans="1:10" s="312" customFormat="1" x14ac:dyDescent="0.25">
      <c r="B8" s="43"/>
      <c r="C8" s="329" t="str">
        <f>Accueil!B29</f>
        <v>Quantité transportée (t)</v>
      </c>
      <c r="D8" s="330" t="str">
        <f>Accueil!C29</f>
        <v>Quantité (en tonnes)</v>
      </c>
      <c r="E8" s="268"/>
      <c r="F8" s="513"/>
    </row>
    <row r="9" spans="1:10" x14ac:dyDescent="0.25">
      <c r="B9" s="43"/>
      <c r="C9" s="331" t="str">
        <f>Accueil!B30</f>
        <v>PCI moyen (en MWh/t)*</v>
      </c>
      <c r="D9" s="332" t="str">
        <f>Accueil!C30</f>
        <v>PCI moyen</v>
      </c>
      <c r="E9" s="268"/>
      <c r="F9" s="514"/>
    </row>
    <row r="10" spans="1:10" s="313" customFormat="1" x14ac:dyDescent="0.25">
      <c r="B10" s="325"/>
      <c r="C10" s="167"/>
      <c r="D10" s="324"/>
      <c r="E10" s="324"/>
      <c r="F10" s="351" t="s">
        <v>482</v>
      </c>
    </row>
    <row r="11" spans="1:10" x14ac:dyDescent="0.25">
      <c r="B11" s="137"/>
      <c r="C11" s="137"/>
      <c r="D11" s="321"/>
      <c r="E11" s="322"/>
      <c r="F11" s="352"/>
    </row>
    <row r="12" spans="1:10" s="348" customFormat="1" ht="27" customHeight="1" x14ac:dyDescent="0.25">
      <c r="B12" s="346" t="str">
        <f>'1-Filières'!A1</f>
        <v>Critère 1 :</v>
      </c>
      <c r="C12" s="496" t="str">
        <f>'1-Filières'!A2</f>
        <v>Les filières d'approvisionnement locales ont été étudiées avant de recourir à l'importation</v>
      </c>
      <c r="D12" s="496"/>
      <c r="E12" s="347"/>
      <c r="F12" s="497" t="str">
        <f>'1-Filières'!C1</f>
        <v>Risque fort</v>
      </c>
    </row>
    <row r="13" spans="1:10" ht="36" customHeight="1" x14ac:dyDescent="0.25">
      <c r="B13" s="43"/>
      <c r="C13" s="499" t="str">
        <f>'1-Filières'!B11</f>
        <v>Aucune information n'est disponible pour justifier que les filières d’approvisionnement régionales et nationales ne sont pas pertinentes.</v>
      </c>
      <c r="D13" s="500"/>
      <c r="E13" s="168"/>
      <c r="F13" s="498"/>
      <c r="H13" s="309" t="str">
        <f>CONCATENATE('1-Filières'!C1)</f>
        <v>Risque fort</v>
      </c>
    </row>
    <row r="14" spans="1:10" s="313" customFormat="1" x14ac:dyDescent="0.25">
      <c r="B14" s="325"/>
      <c r="C14" s="167"/>
      <c r="D14" s="324"/>
      <c r="E14" s="324"/>
      <c r="F14" s="350"/>
    </row>
    <row r="15" spans="1:10" s="315" customFormat="1" x14ac:dyDescent="0.25">
      <c r="B15" s="325"/>
      <c r="C15" s="168"/>
      <c r="D15" s="168"/>
      <c r="E15" s="168"/>
      <c r="F15" s="350"/>
    </row>
    <row r="16" spans="1:10" s="345" customFormat="1" ht="27" customHeight="1" x14ac:dyDescent="0.25">
      <c r="B16" s="346" t="str">
        <f>'2-Légalité'!A2</f>
        <v>Critère 2 :</v>
      </c>
      <c r="C16" s="496" t="str">
        <f>'2-Légalité'!A3</f>
        <v>Le bois est d'origine légale (lieu de récolte)</v>
      </c>
      <c r="D16" s="496"/>
      <c r="E16" s="347"/>
      <c r="F16" s="493" t="str">
        <f>'2-Légalité'!C2</f>
        <v>Risque fort</v>
      </c>
    </row>
    <row r="17" spans="2:8" s="313" customFormat="1" x14ac:dyDescent="0.25">
      <c r="B17" s="43"/>
      <c r="C17" s="333" t="str">
        <f>'2-Légalité'!B6</f>
        <v>Origine du bois et du fournisseur</v>
      </c>
      <c r="D17" s="334" t="str">
        <f>'2-Légalité'!C6</f>
        <v>Risque fort</v>
      </c>
      <c r="E17" s="324"/>
      <c r="F17" s="494"/>
      <c r="H17" s="313" t="str">
        <f>CONCATENATE('2-Légalité'!C2)</f>
        <v>Risque fort</v>
      </c>
    </row>
    <row r="18" spans="2:8" s="313" customFormat="1" ht="24" x14ac:dyDescent="0.25">
      <c r="B18" s="43"/>
      <c r="C18" s="335" t="str">
        <f>'2-Légalité'!B25</f>
        <v>Analyse des risques liés à un lieu de récolte et un fournisseur hors UE</v>
      </c>
      <c r="D18" s="336" t="str">
        <f>'2-Légalité'!C25</f>
        <v>Non applicable</v>
      </c>
      <c r="E18" s="324"/>
      <c r="F18" s="494"/>
    </row>
    <row r="19" spans="2:8" s="313" customFormat="1" ht="24" x14ac:dyDescent="0.25">
      <c r="B19" s="43"/>
      <c r="C19" s="337" t="str">
        <f>'2-Légalité'!B52</f>
        <v>Analyse des risques liés à un fournisseur européen</v>
      </c>
      <c r="D19" s="338" t="str">
        <f>'2-Légalité'!C52</f>
        <v>Non applicable</v>
      </c>
      <c r="E19" s="324"/>
      <c r="F19" s="495"/>
    </row>
    <row r="20" spans="2:8" s="313" customFormat="1" x14ac:dyDescent="0.25">
      <c r="B20" s="325"/>
      <c r="C20" s="167"/>
      <c r="D20" s="324"/>
      <c r="E20" s="324"/>
      <c r="F20" s="350"/>
    </row>
    <row r="21" spans="2:8" s="313" customFormat="1" x14ac:dyDescent="0.25">
      <c r="B21" s="325"/>
      <c r="C21" s="167"/>
      <c r="D21" s="324"/>
      <c r="E21" s="324"/>
      <c r="F21" s="350"/>
    </row>
    <row r="22" spans="2:8" s="348" customFormat="1" ht="27" customHeight="1" x14ac:dyDescent="0.25">
      <c r="B22" s="436" t="str">
        <f>'3-Phyto'!A1</f>
        <v>Critère 3 :</v>
      </c>
      <c r="C22" s="496" t="str">
        <f>'3-Phyto'!A2</f>
        <v>Le bois ne présente pas de risques d'introduction d'organismes nuisibles et sa combustion n'est pas nocive</v>
      </c>
      <c r="D22" s="496"/>
      <c r="E22" s="347"/>
      <c r="F22" s="493" t="str">
        <f>'3-Phyto'!C1</f>
        <v>Risque fort</v>
      </c>
    </row>
    <row r="23" spans="2:8" ht="24" x14ac:dyDescent="0.25">
      <c r="B23" s="43"/>
      <c r="C23" s="333" t="str">
        <f>'3-Phyto'!B5</f>
        <v>Risques d'introduction d'organismes nuisibles</v>
      </c>
      <c r="D23" s="334" t="str">
        <f>'3-Phyto'!C5</f>
        <v>Risque fort</v>
      </c>
      <c r="E23" s="324"/>
      <c r="F23" s="494"/>
      <c r="G23" s="315"/>
      <c r="H23" s="313" t="e">
        <f>CONCATENATE('4-Biodiversité'!#REF!)</f>
        <v>#REF!</v>
      </c>
    </row>
    <row r="24" spans="2:8" x14ac:dyDescent="0.25">
      <c r="B24" s="43"/>
      <c r="C24" s="337" t="str">
        <f>'3-Phyto'!B13</f>
        <v>Produits de traitement des bois</v>
      </c>
      <c r="D24" s="338" t="str">
        <f>'3-Phyto'!C13</f>
        <v>Risque faible</v>
      </c>
      <c r="E24" s="324"/>
      <c r="F24" s="495"/>
      <c r="G24" s="315"/>
    </row>
    <row r="25" spans="2:8" s="313" customFormat="1" x14ac:dyDescent="0.25">
      <c r="B25" s="325"/>
      <c r="C25" s="167"/>
      <c r="D25" s="324"/>
      <c r="E25" s="324"/>
      <c r="F25" s="350"/>
    </row>
    <row r="26" spans="2:8" x14ac:dyDescent="0.25">
      <c r="B26" s="137"/>
      <c r="C26" s="137"/>
      <c r="D26" s="321"/>
      <c r="E26" s="322"/>
      <c r="F26" s="351"/>
    </row>
    <row r="27" spans="2:8" s="348" customFormat="1" ht="27" customHeight="1" x14ac:dyDescent="0.25">
      <c r="B27" s="346" t="str">
        <f>'4-Biodiversité'!A2</f>
        <v>Critère 4 :</v>
      </c>
      <c r="C27" s="496" t="str">
        <f>'4-Biodiversité'!A3</f>
        <v>Le bois ne provient pas de terres de grande valeur en termes de biodiversité ou ayant le caractère de tourbières (lieu de récolte)</v>
      </c>
      <c r="D27" s="496"/>
      <c r="E27" s="347"/>
      <c r="F27" s="493" t="str">
        <f>'4-Biodiversité'!C2</f>
        <v>Risque fort</v>
      </c>
    </row>
    <row r="28" spans="2:8" ht="24" x14ac:dyDescent="0.25">
      <c r="B28" s="43"/>
      <c r="C28" s="333" t="str">
        <f>'4-Biodiversité'!B8</f>
        <v>Origine des produits</v>
      </c>
      <c r="D28" s="334" t="str">
        <f>'4-Biodiversité'!C8</f>
        <v>Risque non négligeable sans investigation complémentaire</v>
      </c>
      <c r="E28" s="324"/>
      <c r="F28" s="494"/>
      <c r="G28" s="315"/>
      <c r="H28" s="313" t="str">
        <f>CONCATENATE('4-Biodiversité'!C2)</f>
        <v>Risque fort</v>
      </c>
    </row>
    <row r="29" spans="2:8" ht="24" x14ac:dyDescent="0.25">
      <c r="B29" s="43"/>
      <c r="C29" s="337" t="str">
        <f>'4-Biodiversité'!B23</f>
        <v>Analyse des risques relatifs à la biodiversité</v>
      </c>
      <c r="D29" s="338" t="str">
        <f>'4-Biodiversité'!C23</f>
        <v>Risque fort</v>
      </c>
      <c r="E29" s="324"/>
      <c r="F29" s="495"/>
      <c r="G29" s="315"/>
    </row>
    <row r="30" spans="2:8" s="313" customFormat="1" x14ac:dyDescent="0.25">
      <c r="B30" s="325"/>
      <c r="C30" s="167"/>
      <c r="D30" s="324"/>
      <c r="E30" s="324"/>
      <c r="F30" s="350"/>
    </row>
    <row r="31" spans="2:8" x14ac:dyDescent="0.25">
      <c r="B31" s="137"/>
      <c r="C31" s="137"/>
      <c r="D31" s="321"/>
      <c r="E31" s="322"/>
      <c r="F31" s="351"/>
    </row>
    <row r="32" spans="2:8" s="348" customFormat="1" ht="27" customHeight="1" x14ac:dyDescent="0.25">
      <c r="B32" s="346" t="str">
        <f>'5-GES'!A2</f>
        <v>Critère 5 :</v>
      </c>
      <c r="C32" s="496" t="str">
        <f>'5-GES'!A3</f>
        <v>Le bois apporte des garanties concernant son potentiel de réduction des GES</v>
      </c>
      <c r="D32" s="496"/>
      <c r="E32" s="347"/>
      <c r="F32" s="493" t="str">
        <f>'5-GES'!C2</f>
        <v>Risque fort</v>
      </c>
      <c r="H32" s="349" t="str">
        <f>CONCATENATE('4-Biodiversité'!C9)</f>
        <v/>
      </c>
    </row>
    <row r="33" spans="1:10" ht="24" customHeight="1" x14ac:dyDescent="0.25">
      <c r="B33" s="43"/>
      <c r="C33" s="333" t="str">
        <f>'5-GES'!B5</f>
        <v>Bilan massique (ou "bilan carbone")</v>
      </c>
      <c r="D33" s="334" t="str">
        <f>'5-GES'!C3</f>
        <v>Risque fort sans investigations complémentaires</v>
      </c>
      <c r="E33" s="326"/>
      <c r="F33" s="495"/>
      <c r="H33" s="313" t="str">
        <f>CONCATENATE('5-GES'!C2)</f>
        <v>Risque fort</v>
      </c>
    </row>
    <row r="34" spans="1:10" s="313" customFormat="1" x14ac:dyDescent="0.25">
      <c r="B34" s="325"/>
      <c r="C34" s="167"/>
      <c r="D34" s="324"/>
      <c r="E34" s="324"/>
      <c r="F34" s="350"/>
    </row>
    <row r="35" spans="1:10" s="315" customFormat="1" x14ac:dyDescent="0.25">
      <c r="B35" s="325"/>
      <c r="C35" s="168"/>
      <c r="D35" s="326"/>
      <c r="E35" s="326"/>
      <c r="F35" s="350"/>
    </row>
    <row r="36" spans="1:10" s="348" customFormat="1" ht="27" customHeight="1" x14ac:dyDescent="0.25">
      <c r="B36" s="346" t="str">
        <f>'6-Usages'!A1</f>
        <v>Critère 6 :</v>
      </c>
      <c r="C36" s="496" t="str">
        <f>'6-Usages'!A2</f>
        <v xml:space="preserve">Le bois ne doit pas contribuer à créer ou renforcer des conflits d'usages </v>
      </c>
      <c r="D36" s="496"/>
      <c r="E36" s="347"/>
      <c r="F36" s="493" t="str">
        <f>'6-Usages'!C1</f>
        <v>Risque fort</v>
      </c>
    </row>
    <row r="37" spans="1:10" s="314" customFormat="1" ht="24" x14ac:dyDescent="0.25">
      <c r="B37" s="43"/>
      <c r="C37" s="339" t="str">
        <f>'6-Usages'!B4</f>
        <v>Origine des produits</v>
      </c>
      <c r="D37" s="340" t="str">
        <f>'6-Usages'!B22</f>
        <v>Aucune vérification concernant les conflits d'usage n'a été effectuée.</v>
      </c>
      <c r="E37" s="323"/>
      <c r="F37" s="495"/>
    </row>
    <row r="38" spans="1:10" s="313" customFormat="1" x14ac:dyDescent="0.25">
      <c r="B38" s="325"/>
      <c r="C38" s="167"/>
      <c r="D38" s="324"/>
      <c r="E38" s="324"/>
      <c r="F38" s="350"/>
    </row>
    <row r="39" spans="1:10" s="315" customFormat="1" x14ac:dyDescent="0.25">
      <c r="B39" s="325"/>
      <c r="C39" s="168"/>
      <c r="D39" s="168"/>
      <c r="E39" s="168"/>
      <c r="F39" s="350"/>
    </row>
    <row r="40" spans="1:10" s="348" customFormat="1" ht="27" customHeight="1" x14ac:dyDescent="0.25">
      <c r="B40" s="346" t="str">
        <f>'7-Droits'!A1</f>
        <v>Critère 7 :</v>
      </c>
      <c r="C40" s="496" t="str">
        <f>'7-Droits'!A2</f>
        <v>Le bois ne doit pas provenir de zones où les droits du travail, les droits des communautés locales et des populations autochtones ne sont pas respectés</v>
      </c>
      <c r="D40" s="496"/>
      <c r="E40" s="347"/>
      <c r="F40" s="497" t="str">
        <f>'7-Droits'!C1</f>
        <v>Risque fort</v>
      </c>
    </row>
    <row r="41" spans="1:10" ht="43.5" customHeight="1" x14ac:dyDescent="0.25">
      <c r="B41" s="43"/>
      <c r="C41" s="499" t="str">
        <f>'7-Droits'!B16</f>
        <v>Des risques que le bois provienne de zones où les droits du travail, les droits des communautés locales ou des populations autochtones ne soient pas respectés ont été identifiés ou n'ont pas été vérifiés.</v>
      </c>
      <c r="D41" s="500"/>
      <c r="E41" s="168"/>
      <c r="F41" s="498"/>
      <c r="H41" s="309" t="str">
        <f>CONCATENATE('7-Droits'!C1)</f>
        <v>Risque fort</v>
      </c>
    </row>
    <row r="42" spans="1:10" x14ac:dyDescent="0.25">
      <c r="E42" s="316"/>
      <c r="F42" s="317"/>
    </row>
    <row r="43" spans="1:10" s="320" customFormat="1" ht="21" customHeight="1" x14ac:dyDescent="0.25">
      <c r="A43" s="318"/>
      <c r="B43" s="502" t="s">
        <v>509</v>
      </c>
      <c r="C43" s="502"/>
      <c r="D43" s="502"/>
      <c r="E43" s="502"/>
      <c r="F43" s="502"/>
      <c r="G43" s="319"/>
      <c r="H43" s="319"/>
      <c r="I43" s="319"/>
      <c r="J43" s="319"/>
    </row>
    <row r="44" spans="1:10" x14ac:dyDescent="0.25">
      <c r="E44" s="310"/>
    </row>
    <row r="45" spans="1:10" s="312" customFormat="1" x14ac:dyDescent="0.25">
      <c r="B45" s="503"/>
      <c r="C45" s="504"/>
      <c r="D45" s="504"/>
      <c r="E45" s="504"/>
      <c r="F45" s="505"/>
    </row>
    <row r="46" spans="1:10" s="312" customFormat="1" x14ac:dyDescent="0.25">
      <c r="B46" s="506"/>
      <c r="C46" s="507"/>
      <c r="D46" s="507"/>
      <c r="E46" s="507"/>
      <c r="F46" s="508"/>
    </row>
    <row r="47" spans="1:10" s="312" customFormat="1" x14ac:dyDescent="0.25">
      <c r="B47" s="506"/>
      <c r="C47" s="507"/>
      <c r="D47" s="507"/>
      <c r="E47" s="507"/>
      <c r="F47" s="508"/>
    </row>
    <row r="48" spans="1:10" s="312" customFormat="1" x14ac:dyDescent="0.25">
      <c r="B48" s="506"/>
      <c r="C48" s="507"/>
      <c r="D48" s="507"/>
      <c r="E48" s="507"/>
      <c r="F48" s="508"/>
    </row>
    <row r="49" spans="2:6" s="312" customFormat="1" x14ac:dyDescent="0.25">
      <c r="B49" s="506"/>
      <c r="C49" s="507"/>
      <c r="D49" s="507"/>
      <c r="E49" s="507"/>
      <c r="F49" s="508"/>
    </row>
    <row r="50" spans="2:6" s="312" customFormat="1" x14ac:dyDescent="0.25">
      <c r="B50" s="506"/>
      <c r="C50" s="507"/>
      <c r="D50" s="507"/>
      <c r="E50" s="507"/>
      <c r="F50" s="508"/>
    </row>
    <row r="51" spans="2:6" s="312" customFormat="1" x14ac:dyDescent="0.25">
      <c r="B51" s="506"/>
      <c r="C51" s="507"/>
      <c r="D51" s="507"/>
      <c r="E51" s="507"/>
      <c r="F51" s="508"/>
    </row>
    <row r="52" spans="2:6" s="312" customFormat="1" x14ac:dyDescent="0.25">
      <c r="B52" s="506"/>
      <c r="C52" s="507"/>
      <c r="D52" s="507"/>
      <c r="E52" s="507"/>
      <c r="F52" s="508"/>
    </row>
    <row r="53" spans="2:6" s="312" customFormat="1" x14ac:dyDescent="0.25">
      <c r="B53" s="506"/>
      <c r="C53" s="507"/>
      <c r="D53" s="507"/>
      <c r="E53" s="507"/>
      <c r="F53" s="508"/>
    </row>
    <row r="54" spans="2:6" s="312" customFormat="1" x14ac:dyDescent="0.25">
      <c r="B54" s="506"/>
      <c r="C54" s="507"/>
      <c r="D54" s="507"/>
      <c r="E54" s="507"/>
      <c r="F54" s="508"/>
    </row>
    <row r="55" spans="2:6" s="312" customFormat="1" x14ac:dyDescent="0.25">
      <c r="B55" s="506"/>
      <c r="C55" s="507"/>
      <c r="D55" s="507"/>
      <c r="E55" s="507"/>
      <c r="F55" s="508"/>
    </row>
    <row r="56" spans="2:6" s="312" customFormat="1" x14ac:dyDescent="0.25">
      <c r="B56" s="506"/>
      <c r="C56" s="507"/>
      <c r="D56" s="507"/>
      <c r="E56" s="507"/>
      <c r="F56" s="508"/>
    </row>
    <row r="57" spans="2:6" s="312" customFormat="1" x14ac:dyDescent="0.25">
      <c r="B57" s="506"/>
      <c r="C57" s="507"/>
      <c r="D57" s="507"/>
      <c r="E57" s="507"/>
      <c r="F57" s="508"/>
    </row>
    <row r="58" spans="2:6" s="312" customFormat="1" x14ac:dyDescent="0.25">
      <c r="B58" s="506"/>
      <c r="C58" s="507"/>
      <c r="D58" s="507"/>
      <c r="E58" s="507"/>
      <c r="F58" s="508"/>
    </row>
    <row r="59" spans="2:6" x14ac:dyDescent="0.25">
      <c r="B59" s="509"/>
      <c r="C59" s="510"/>
      <c r="D59" s="510"/>
      <c r="E59" s="510"/>
      <c r="F59" s="511"/>
    </row>
    <row r="60" spans="2:6" x14ac:dyDescent="0.25">
      <c r="E60" s="316"/>
      <c r="F60" s="317"/>
    </row>
    <row r="61" spans="2:6" x14ac:dyDescent="0.25">
      <c r="E61" s="316"/>
      <c r="F61" s="317"/>
    </row>
    <row r="62" spans="2:6" x14ac:dyDescent="0.25">
      <c r="E62" s="316"/>
      <c r="F62" s="317"/>
    </row>
    <row r="63" spans="2:6" x14ac:dyDescent="0.25">
      <c r="E63" s="316"/>
      <c r="F63" s="317"/>
    </row>
    <row r="64" spans="2:6" x14ac:dyDescent="0.25">
      <c r="E64" s="316"/>
      <c r="F64" s="317"/>
    </row>
    <row r="65" spans="5:6" x14ac:dyDescent="0.25">
      <c r="E65" s="316"/>
      <c r="F65" s="317"/>
    </row>
    <row r="66" spans="5:6" x14ac:dyDescent="0.25">
      <c r="E66" s="316"/>
      <c r="F66" s="317"/>
    </row>
  </sheetData>
  <sheetProtection password="C644" sheet="1" objects="1" scenarios="1" selectLockedCells="1"/>
  <mergeCells count="21">
    <mergeCell ref="B2:F2"/>
    <mergeCell ref="C41:D41"/>
    <mergeCell ref="B43:F43"/>
    <mergeCell ref="B45:F59"/>
    <mergeCell ref="F40:F41"/>
    <mergeCell ref="C12:D12"/>
    <mergeCell ref="C40:D40"/>
    <mergeCell ref="B4:D4"/>
    <mergeCell ref="F4:F9"/>
    <mergeCell ref="C36:D36"/>
    <mergeCell ref="F27:F29"/>
    <mergeCell ref="F36:F37"/>
    <mergeCell ref="C16:D16"/>
    <mergeCell ref="C32:D32"/>
    <mergeCell ref="C27:D27"/>
    <mergeCell ref="F32:F33"/>
    <mergeCell ref="F16:F19"/>
    <mergeCell ref="C22:D22"/>
    <mergeCell ref="F22:F24"/>
    <mergeCell ref="F12:F13"/>
    <mergeCell ref="C13:D13"/>
  </mergeCells>
  <phoneticPr fontId="32" type="noConversion"/>
  <pageMargins left="0.25" right="0.25" top="0.75" bottom="0.75" header="0.3" footer="0.3"/>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rowBreaks count="1" manualBreakCount="1">
    <brk id="42" max="5" man="1"/>
  </rowBreaks>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44"/>
  <sheetViews>
    <sheetView showGridLines="0" zoomScaleNormal="100" zoomScaleSheetLayoutView="70" workbookViewId="0">
      <selection activeCell="C5" sqref="C5"/>
    </sheetView>
  </sheetViews>
  <sheetFormatPr baseColWidth="10" defaultRowHeight="15" x14ac:dyDescent="0.25"/>
  <cols>
    <col min="1" max="1" width="2.85546875" style="25" bestFit="1" customWidth="1"/>
    <col min="2" max="2" width="55.5703125" style="25" bestFit="1" customWidth="1"/>
    <col min="3" max="3" width="14.28515625" style="31" customWidth="1"/>
    <col min="4" max="7" width="14.28515625" style="25" customWidth="1"/>
    <col min="8" max="8" width="16.5703125" style="1" customWidth="1"/>
    <col min="9" max="9" width="9.28515625" style="29" hidden="1" customWidth="1"/>
    <col min="10" max="10" width="39.42578125" style="29" hidden="1" customWidth="1"/>
    <col min="11" max="11" width="19" style="29" hidden="1" customWidth="1"/>
    <col min="12" max="12" width="5" style="29" hidden="1" customWidth="1"/>
    <col min="13" max="13" width="41.7109375" style="29" hidden="1" customWidth="1"/>
    <col min="14" max="14" width="18.28515625" style="29" hidden="1" customWidth="1"/>
    <col min="15" max="15" width="2.5703125" style="29" customWidth="1"/>
    <col min="16" max="22" width="11.42578125" style="29" customWidth="1"/>
    <col min="23" max="16384" width="11.42578125" style="29"/>
  </cols>
  <sheetData>
    <row r="1" spans="1:20" s="273" customFormat="1" ht="18" x14ac:dyDescent="0.25">
      <c r="A1" s="171" t="s">
        <v>493</v>
      </c>
      <c r="B1" s="269" t="s">
        <v>497</v>
      </c>
      <c r="C1" s="457" t="str">
        <f>CONCATENATE(C22," ",D22," ",E22)</f>
        <v xml:space="preserve">? kg eq CO2 </v>
      </c>
      <c r="D1" s="271"/>
      <c r="E1" s="271"/>
      <c r="F1" s="271"/>
      <c r="G1" s="272"/>
      <c r="H1" s="391"/>
    </row>
    <row r="2" spans="1:20" x14ac:dyDescent="0.25">
      <c r="A2" s="222"/>
      <c r="B2" s="246" t="str">
        <f>IF(C23="?","?",CONCATENATE(ROUND(C23,2)," ",D23,", soit l'équivalent de ",ROUND(C23/$K$5,0)," km de transport par camion au total (modèle de camion considéré : PTAC &gt; 21t)"))</f>
        <v>?</v>
      </c>
      <c r="C2" s="29"/>
      <c r="D2" s="261"/>
      <c r="E2" s="261"/>
      <c r="F2" s="261"/>
      <c r="G2" s="261"/>
      <c r="I2" s="30"/>
    </row>
    <row r="3" spans="1:20" x14ac:dyDescent="0.25">
      <c r="A3" s="222"/>
      <c r="B3" s="246"/>
      <c r="C3" s="29"/>
      <c r="D3" s="261"/>
      <c r="E3" s="261"/>
      <c r="F3" s="261"/>
      <c r="G3" s="261"/>
      <c r="H3" s="252"/>
      <c r="I3" s="30"/>
      <c r="P3" s="479" t="s">
        <v>560</v>
      </c>
      <c r="Q3" s="479"/>
      <c r="R3" s="479"/>
      <c r="S3" s="479"/>
      <c r="T3" s="479"/>
    </row>
    <row r="4" spans="1:20" ht="22.5" x14ac:dyDescent="0.25">
      <c r="A4" s="222"/>
      <c r="B4" s="354"/>
      <c r="C4" s="355" t="s">
        <v>342</v>
      </c>
      <c r="D4" s="355" t="s">
        <v>356</v>
      </c>
      <c r="E4" s="355" t="s">
        <v>343</v>
      </c>
      <c r="F4" s="355" t="s">
        <v>344</v>
      </c>
      <c r="G4" s="356" t="s">
        <v>345</v>
      </c>
      <c r="H4" s="170"/>
      <c r="I4" s="45"/>
      <c r="J4" s="84" t="s">
        <v>340</v>
      </c>
      <c r="K4" s="84" t="s">
        <v>339</v>
      </c>
      <c r="L4" s="61"/>
      <c r="M4" s="84" t="s">
        <v>338</v>
      </c>
      <c r="N4" s="84" t="s">
        <v>339</v>
      </c>
      <c r="P4" s="479"/>
      <c r="Q4" s="479"/>
      <c r="R4" s="479"/>
      <c r="S4" s="479"/>
      <c r="T4" s="479"/>
    </row>
    <row r="5" spans="1:20" ht="24" x14ac:dyDescent="0.25">
      <c r="A5" s="222"/>
      <c r="B5" s="357" t="s">
        <v>496</v>
      </c>
      <c r="C5" s="358" t="s">
        <v>518</v>
      </c>
      <c r="D5" s="358" t="s">
        <v>518</v>
      </c>
      <c r="E5" s="358" t="s">
        <v>518</v>
      </c>
      <c r="F5" s="358" t="s">
        <v>518</v>
      </c>
      <c r="G5" s="359" t="s">
        <v>518</v>
      </c>
      <c r="H5" s="160"/>
      <c r="I5" s="46"/>
      <c r="J5" s="85" t="s">
        <v>424</v>
      </c>
      <c r="K5" s="85">
        <f>K6</f>
        <v>6.3E-2</v>
      </c>
      <c r="L5" s="61"/>
      <c r="M5" s="85" t="s">
        <v>381</v>
      </c>
      <c r="N5" s="85">
        <v>4.8000000000000001E-4</v>
      </c>
      <c r="P5" s="479"/>
      <c r="Q5" s="479"/>
      <c r="R5" s="479"/>
      <c r="S5" s="479"/>
      <c r="T5" s="479"/>
    </row>
    <row r="6" spans="1:20" x14ac:dyDescent="0.25">
      <c r="A6" s="222"/>
      <c r="B6" s="357" t="s">
        <v>397</v>
      </c>
      <c r="C6" s="358"/>
      <c r="D6" s="358"/>
      <c r="E6" s="358">
        <v>0</v>
      </c>
      <c r="F6" s="358">
        <v>0</v>
      </c>
      <c r="G6" s="359">
        <v>0</v>
      </c>
      <c r="H6" s="160"/>
      <c r="I6" s="46"/>
      <c r="J6" s="85" t="s">
        <v>379</v>
      </c>
      <c r="K6" s="85">
        <v>6.3E-2</v>
      </c>
      <c r="L6" s="61"/>
      <c r="M6" s="85" t="s">
        <v>393</v>
      </c>
      <c r="N6" s="85">
        <v>4.8000000000000001E-4</v>
      </c>
      <c r="P6" s="479"/>
      <c r="Q6" s="479"/>
      <c r="R6" s="479"/>
      <c r="S6" s="479"/>
      <c r="T6" s="479"/>
    </row>
    <row r="7" spans="1:20" ht="24" x14ac:dyDescent="0.25">
      <c r="A7" s="222"/>
      <c r="B7" s="357" t="s">
        <v>419</v>
      </c>
      <c r="C7" s="360"/>
      <c r="D7" s="360"/>
      <c r="E7" s="360">
        <v>0</v>
      </c>
      <c r="F7" s="360">
        <v>0</v>
      </c>
      <c r="G7" s="361">
        <v>0</v>
      </c>
      <c r="H7" s="160"/>
      <c r="I7" s="46"/>
      <c r="J7" s="85" t="s">
        <v>378</v>
      </c>
      <c r="K7" s="85">
        <v>7.0999999999999994E-2</v>
      </c>
      <c r="L7" s="61"/>
      <c r="M7" s="85" t="s">
        <v>392</v>
      </c>
      <c r="N7" s="85">
        <v>5.0000000000000001E-4</v>
      </c>
      <c r="P7" s="479"/>
      <c r="Q7" s="479"/>
      <c r="R7" s="479"/>
      <c r="S7" s="479"/>
      <c r="T7" s="479"/>
    </row>
    <row r="8" spans="1:20" s="280" customFormat="1" x14ac:dyDescent="0.25">
      <c r="A8" s="244"/>
      <c r="B8" s="362" t="s">
        <v>394</v>
      </c>
      <c r="C8" s="363">
        <f>C6*C7</f>
        <v>0</v>
      </c>
      <c r="D8" s="363">
        <f>D6*D7</f>
        <v>0</v>
      </c>
      <c r="E8" s="363">
        <f>E6*E7</f>
        <v>0</v>
      </c>
      <c r="F8" s="363">
        <f>F6*F7</f>
        <v>0</v>
      </c>
      <c r="G8" s="364">
        <f>G6*G7</f>
        <v>0</v>
      </c>
      <c r="H8" s="276"/>
      <c r="I8" s="279"/>
      <c r="J8" s="281" t="s">
        <v>377</v>
      </c>
      <c r="K8" s="281">
        <v>7.3999999999999996E-2</v>
      </c>
      <c r="L8" s="282"/>
      <c r="M8" s="281" t="s">
        <v>391</v>
      </c>
      <c r="N8" s="281">
        <v>6.4999999999999997E-4</v>
      </c>
      <c r="P8" s="479"/>
      <c r="Q8" s="479"/>
      <c r="R8" s="479"/>
      <c r="S8" s="479"/>
      <c r="T8" s="479"/>
    </row>
    <row r="9" spans="1:20" ht="18" x14ac:dyDescent="0.25">
      <c r="A9" s="222"/>
      <c r="B9" s="365" t="s">
        <v>337</v>
      </c>
      <c r="C9" s="366"/>
      <c r="D9" s="366"/>
      <c r="E9" s="366"/>
      <c r="F9" s="366"/>
      <c r="G9" s="367"/>
      <c r="H9" s="170"/>
      <c r="I9" s="45"/>
      <c r="J9" s="84" t="s">
        <v>376</v>
      </c>
      <c r="K9" s="84">
        <v>0.14299999999999999</v>
      </c>
      <c r="L9" s="61"/>
      <c r="M9" s="84" t="s">
        <v>390</v>
      </c>
      <c r="N9" s="84">
        <v>6.9999999999999999E-4</v>
      </c>
      <c r="P9" s="479"/>
      <c r="Q9" s="479"/>
      <c r="R9" s="479"/>
      <c r="S9" s="479"/>
      <c r="T9" s="479"/>
    </row>
    <row r="10" spans="1:20" ht="33.75" x14ac:dyDescent="0.25">
      <c r="A10" s="29"/>
      <c r="B10" s="357" t="s">
        <v>340</v>
      </c>
      <c r="C10" s="368" t="s">
        <v>424</v>
      </c>
      <c r="D10" s="368" t="s">
        <v>424</v>
      </c>
      <c r="E10" s="368" t="s">
        <v>424</v>
      </c>
      <c r="F10" s="368" t="s">
        <v>424</v>
      </c>
      <c r="G10" s="369" t="s">
        <v>424</v>
      </c>
      <c r="H10" s="391" t="s">
        <v>486</v>
      </c>
      <c r="I10" s="46"/>
      <c r="J10" s="85" t="s">
        <v>375</v>
      </c>
      <c r="K10" s="85">
        <v>0.192</v>
      </c>
      <c r="L10" s="61"/>
      <c r="M10" s="85" t="s">
        <v>389</v>
      </c>
      <c r="N10" s="85">
        <v>7.9000000000000001E-4</v>
      </c>
      <c r="P10" s="479"/>
      <c r="Q10" s="479"/>
      <c r="R10" s="479"/>
      <c r="S10" s="479"/>
      <c r="T10" s="479"/>
    </row>
    <row r="11" spans="1:20" s="280" customFormat="1" x14ac:dyDescent="0.25">
      <c r="B11" s="362" t="s">
        <v>380</v>
      </c>
      <c r="C11" s="370">
        <f>IF(C10&gt;0,VLOOKUP(C10,$J$5:$K$19,2,0),0)</f>
        <v>6.3E-2</v>
      </c>
      <c r="D11" s="370">
        <f>IF(D10&gt;0,VLOOKUP(D10,$J$5:$K$19,2,0),0)</f>
        <v>6.3E-2</v>
      </c>
      <c r="E11" s="370">
        <f>IF(E10&gt;0,VLOOKUP(E10,$J$5:$K$19,2,0),0)</f>
        <v>6.3E-2</v>
      </c>
      <c r="F11" s="370">
        <f>IF(F10&gt;0,VLOOKUP(F10,$J$5:$K$19,2,0),0)</f>
        <v>6.3E-2</v>
      </c>
      <c r="G11" s="371">
        <f>IF(G10&gt;0,VLOOKUP(G10,$J$5:$K$19,2,0),0)</f>
        <v>6.3E-2</v>
      </c>
      <c r="H11" s="245"/>
      <c r="I11" s="279"/>
      <c r="J11" s="281" t="s">
        <v>374</v>
      </c>
      <c r="K11" s="281">
        <v>0.28199999999999997</v>
      </c>
      <c r="L11" s="282"/>
      <c r="M11" s="281" t="s">
        <v>387</v>
      </c>
      <c r="N11" s="281">
        <v>8.7000000000000001E-4</v>
      </c>
      <c r="P11" s="479"/>
      <c r="Q11" s="479"/>
      <c r="R11" s="479"/>
      <c r="S11" s="479"/>
      <c r="T11" s="479"/>
    </row>
    <row r="12" spans="1:20" ht="47.25" x14ac:dyDescent="0.25">
      <c r="A12" s="29"/>
      <c r="B12" s="357" t="s">
        <v>559</v>
      </c>
      <c r="C12" s="358"/>
      <c r="D12" s="358">
        <v>0</v>
      </c>
      <c r="E12" s="358">
        <v>0</v>
      </c>
      <c r="F12" s="358">
        <v>0</v>
      </c>
      <c r="G12" s="359">
        <v>0</v>
      </c>
      <c r="H12" s="223"/>
      <c r="I12" s="46"/>
      <c r="J12" s="85" t="s">
        <v>373</v>
      </c>
      <c r="K12" s="85">
        <v>0.32800000000000001</v>
      </c>
      <c r="L12" s="61"/>
      <c r="M12" s="85" t="s">
        <v>388</v>
      </c>
      <c r="N12" s="85">
        <v>1.08E-3</v>
      </c>
      <c r="P12" s="479"/>
      <c r="Q12" s="479"/>
      <c r="R12" s="479"/>
      <c r="S12" s="479"/>
      <c r="T12" s="479"/>
    </row>
    <row r="13" spans="1:20" ht="18" x14ac:dyDescent="0.25">
      <c r="A13" s="29"/>
      <c r="B13" s="365" t="s">
        <v>346</v>
      </c>
      <c r="C13" s="366"/>
      <c r="D13" s="366"/>
      <c r="E13" s="366"/>
      <c r="F13" s="366"/>
      <c r="G13" s="367"/>
      <c r="H13" s="223"/>
      <c r="I13" s="45"/>
      <c r="J13" s="84" t="s">
        <v>372</v>
      </c>
      <c r="K13" s="84">
        <v>0.33700000000000002</v>
      </c>
      <c r="L13" s="61"/>
      <c r="M13" s="84" t="s">
        <v>386</v>
      </c>
      <c r="N13" s="84">
        <v>1.14E-3</v>
      </c>
    </row>
    <row r="14" spans="1:20" ht="33.75" x14ac:dyDescent="0.25">
      <c r="A14" s="29"/>
      <c r="B14" s="357" t="str">
        <f>Listes!B25</f>
        <v>Modèle de navire</v>
      </c>
      <c r="C14" s="368" t="s">
        <v>381</v>
      </c>
      <c r="D14" s="368" t="s">
        <v>381</v>
      </c>
      <c r="E14" s="368" t="s">
        <v>381</v>
      </c>
      <c r="F14" s="368" t="s">
        <v>381</v>
      </c>
      <c r="G14" s="369" t="s">
        <v>381</v>
      </c>
      <c r="H14" s="391" t="s">
        <v>486</v>
      </c>
      <c r="I14" s="46"/>
      <c r="J14" s="85" t="s">
        <v>370</v>
      </c>
      <c r="K14" s="85">
        <v>0.45100000000000001</v>
      </c>
      <c r="L14" s="61"/>
      <c r="M14" s="85" t="s">
        <v>385</v>
      </c>
      <c r="N14" s="85">
        <v>1.8799999999999999E-3</v>
      </c>
    </row>
    <row r="15" spans="1:20" s="280" customFormat="1" x14ac:dyDescent="0.25">
      <c r="A15" s="244"/>
      <c r="B15" s="362" t="s">
        <v>380</v>
      </c>
      <c r="C15" s="372">
        <f>IF(C14&gt;0,VLOOKUP(C14,Listes!$B$26:$C$37,2,0),"")</f>
        <v>4.8000000000000001E-4</v>
      </c>
      <c r="D15" s="372">
        <f>IF(D14&gt;0,VLOOKUP(D14,Listes!$B$26:$C$37,2,0),"")</f>
        <v>4.8000000000000001E-4</v>
      </c>
      <c r="E15" s="372">
        <f>IF(E14&gt;0,VLOOKUP(E14,Listes!$B$26:$C$37,2,0),"")</f>
        <v>4.8000000000000001E-4</v>
      </c>
      <c r="F15" s="372">
        <f>IF(F14&gt;0,VLOOKUP(F14,Listes!$B$26:$C$37,2,0),"")</f>
        <v>4.8000000000000001E-4</v>
      </c>
      <c r="G15" s="373">
        <f>IF(G14&gt;0,VLOOKUP(G14,Listes!$B$26:$C$37,2,0),"")</f>
        <v>4.8000000000000001E-4</v>
      </c>
      <c r="H15" s="276"/>
      <c r="I15" s="279"/>
      <c r="J15" s="281" t="s">
        <v>371</v>
      </c>
      <c r="K15" s="281">
        <v>0.49299999999999999</v>
      </c>
      <c r="L15" s="282"/>
      <c r="M15" s="281" t="s">
        <v>384</v>
      </c>
      <c r="N15" s="281">
        <v>2.5500000000000002E-3</v>
      </c>
    </row>
    <row r="16" spans="1:20" ht="34.5" x14ac:dyDescent="0.25">
      <c r="A16" s="222"/>
      <c r="B16" s="357" t="s">
        <v>504</v>
      </c>
      <c r="C16" s="358">
        <v>0</v>
      </c>
      <c r="D16" s="358"/>
      <c r="E16" s="358">
        <v>0</v>
      </c>
      <c r="F16" s="358">
        <v>0</v>
      </c>
      <c r="G16" s="359">
        <v>0</v>
      </c>
      <c r="H16" s="160"/>
      <c r="I16" s="46"/>
      <c r="J16" s="85" t="s">
        <v>369</v>
      </c>
      <c r="K16" s="85">
        <v>0.503</v>
      </c>
      <c r="L16" s="61"/>
      <c r="M16" s="85" t="s">
        <v>383</v>
      </c>
      <c r="N16" s="85">
        <v>2.64E-3</v>
      </c>
    </row>
    <row r="17" spans="1:14" ht="18" x14ac:dyDescent="0.25">
      <c r="A17" s="29"/>
      <c r="B17" s="365" t="s">
        <v>498</v>
      </c>
      <c r="C17" s="366"/>
      <c r="D17" s="366"/>
      <c r="E17" s="366"/>
      <c r="F17" s="366"/>
      <c r="G17" s="367"/>
      <c r="H17" s="223"/>
      <c r="I17" s="45"/>
      <c r="J17" s="84" t="s">
        <v>372</v>
      </c>
      <c r="K17" s="84">
        <v>0.33700000000000002</v>
      </c>
      <c r="L17" s="61"/>
      <c r="M17" s="84" t="s">
        <v>386</v>
      </c>
      <c r="N17" s="84">
        <v>1.14E-3</v>
      </c>
    </row>
    <row r="18" spans="1:14" s="280" customFormat="1" x14ac:dyDescent="0.25">
      <c r="A18" s="244"/>
      <c r="B18" s="362" t="s">
        <v>426</v>
      </c>
      <c r="C18" s="374">
        <f>(IF(C12="",0,C11*C12)+(IF(C16="",0,C15*C16)))</f>
        <v>0</v>
      </c>
      <c r="D18" s="374">
        <f>(IF(D12="",0,D11*D12)+(IF(D16="",0,D15*D16)))</f>
        <v>0</v>
      </c>
      <c r="E18" s="374">
        <f>(IF(E12="",0,E11*E12)+(IF(E16="",0,E15*E16)))</f>
        <v>0</v>
      </c>
      <c r="F18" s="374">
        <f>(IF(F12="",0,F11*F12)+(IF(F16="",0,F15*F16)))</f>
        <v>0</v>
      </c>
      <c r="G18" s="375">
        <f>(IF(G12="",0,G11*G12)+(IF(G16="",0,G15*G16)))</f>
        <v>0</v>
      </c>
      <c r="H18" s="277"/>
      <c r="I18" s="283"/>
      <c r="J18" s="284" t="s">
        <v>368</v>
      </c>
      <c r="K18" s="284">
        <v>0.67300000000000004</v>
      </c>
      <c r="L18" s="282"/>
      <c r="M18" s="284"/>
      <c r="N18" s="284"/>
    </row>
    <row r="19" spans="1:14" s="280" customFormat="1" x14ac:dyDescent="0.25">
      <c r="A19" s="244"/>
      <c r="B19" s="362" t="s">
        <v>531</v>
      </c>
      <c r="C19" s="376">
        <f>C18*C6</f>
        <v>0</v>
      </c>
      <c r="D19" s="376">
        <f>D18*D6</f>
        <v>0</v>
      </c>
      <c r="E19" s="376">
        <f>E18*E6</f>
        <v>0</v>
      </c>
      <c r="F19" s="376">
        <f>F18*F6</f>
        <v>0</v>
      </c>
      <c r="G19" s="377">
        <f>G18*G6</f>
        <v>0</v>
      </c>
      <c r="H19" s="277"/>
      <c r="I19" s="285"/>
      <c r="J19" s="281" t="s">
        <v>367</v>
      </c>
      <c r="K19" s="281">
        <v>0.77100000000000002</v>
      </c>
      <c r="L19" s="282"/>
      <c r="M19" s="282"/>
      <c r="N19" s="282"/>
    </row>
    <row r="20" spans="1:14" s="280" customFormat="1" x14ac:dyDescent="0.25">
      <c r="A20" s="244"/>
      <c r="B20" s="362" t="s">
        <v>530</v>
      </c>
      <c r="C20" s="374">
        <f>IF(C8=0,0,C19/C8)</f>
        <v>0</v>
      </c>
      <c r="D20" s="374">
        <f>IF(D8=0,0,D19/D8)</f>
        <v>0</v>
      </c>
      <c r="E20" s="374">
        <f>IF(E8=0,0,E19/E8)</f>
        <v>0</v>
      </c>
      <c r="F20" s="374">
        <f>IF(F8=0,0,F19/F8)</f>
        <v>0</v>
      </c>
      <c r="G20" s="375">
        <f>IF(G8=0,0,G19/G8)</f>
        <v>0</v>
      </c>
      <c r="H20" s="278"/>
      <c r="I20" s="286"/>
      <c r="L20" s="282"/>
      <c r="M20" s="282"/>
      <c r="N20" s="282"/>
    </row>
    <row r="21" spans="1:14" s="280" customFormat="1" x14ac:dyDescent="0.25">
      <c r="A21" s="222"/>
      <c r="B21" s="160"/>
      <c r="C21" s="274"/>
      <c r="D21" s="274"/>
      <c r="E21" s="274"/>
      <c r="F21" s="275"/>
      <c r="G21" s="275"/>
      <c r="H21" s="278"/>
      <c r="I21" s="286"/>
      <c r="L21" s="282"/>
      <c r="M21" s="282"/>
      <c r="N21" s="282"/>
    </row>
    <row r="22" spans="1:14" ht="18" x14ac:dyDescent="0.25">
      <c r="A22" s="29"/>
      <c r="B22" s="365" t="s">
        <v>425</v>
      </c>
      <c r="C22" s="366" t="str">
        <f>IF(SUM(C19:G19)=0,"?",SUM(C19:G19))</f>
        <v>?</v>
      </c>
      <c r="D22" s="366" t="s">
        <v>382</v>
      </c>
      <c r="E22" s="366"/>
      <c r="F22" s="366"/>
      <c r="G22" s="367"/>
      <c r="H22" s="275"/>
      <c r="I22" s="47"/>
    </row>
    <row r="23" spans="1:14" x14ac:dyDescent="0.25">
      <c r="A23" s="222"/>
      <c r="B23" s="172" t="s">
        <v>427</v>
      </c>
      <c r="C23" s="287" t="str">
        <f>IF(SUM(C18:G18)=0,"?",SUM(C18:G18))</f>
        <v>?</v>
      </c>
      <c r="D23" s="172" t="s">
        <v>396</v>
      </c>
      <c r="E23" s="172"/>
      <c r="F23" s="160"/>
      <c r="G23" s="160"/>
      <c r="H23" s="223"/>
      <c r="I23" s="45"/>
      <c r="J23" s="84"/>
      <c r="K23" s="84"/>
      <c r="L23" s="61"/>
      <c r="M23" s="84"/>
      <c r="N23" s="84"/>
    </row>
    <row r="24" spans="1:14" s="259" customFormat="1" ht="21" x14ac:dyDescent="0.25">
      <c r="A24" s="222"/>
      <c r="B24" s="172" t="s">
        <v>428</v>
      </c>
      <c r="C24" s="287" t="str">
        <f>IF(C8=0,"?",C22/C8)</f>
        <v>?</v>
      </c>
      <c r="D24" s="172" t="s">
        <v>395</v>
      </c>
      <c r="E24" s="172"/>
      <c r="F24" s="160"/>
      <c r="G24" s="160"/>
      <c r="H24" s="160"/>
      <c r="I24" s="288"/>
    </row>
    <row r="25" spans="1:14" s="259" customFormat="1" x14ac:dyDescent="0.25">
      <c r="A25" s="222"/>
      <c r="B25" s="160"/>
      <c r="C25" s="160"/>
      <c r="D25" s="160"/>
      <c r="E25" s="160"/>
      <c r="F25" s="160"/>
      <c r="G25" s="160"/>
      <c r="H25" s="160"/>
    </row>
    <row r="26" spans="1:14" s="259" customFormat="1" ht="18" x14ac:dyDescent="0.25">
      <c r="A26" s="171" t="s">
        <v>493</v>
      </c>
      <c r="B26" s="269" t="s">
        <v>478</v>
      </c>
      <c r="C26" s="270" t="str">
        <f>CONCATENATE(C49," ",D49," ",E49)</f>
        <v xml:space="preserve">  </v>
      </c>
      <c r="D26" s="271"/>
      <c r="E26" s="271"/>
      <c r="F26" s="271"/>
      <c r="G26" s="272"/>
      <c r="H26" s="160"/>
    </row>
    <row r="27" spans="1:14" s="273" customFormat="1" ht="18" x14ac:dyDescent="0.25">
      <c r="A27" s="25"/>
      <c r="B27" s="25"/>
      <c r="C27" s="31"/>
      <c r="D27" s="25"/>
      <c r="E27" s="25"/>
      <c r="F27" s="25"/>
      <c r="G27" s="25"/>
      <c r="H27" s="295"/>
    </row>
    <row r="28" spans="1:14" ht="30" customHeight="1" x14ac:dyDescent="0.25">
      <c r="B28" s="471" t="s">
        <v>507</v>
      </c>
      <c r="C28" s="515"/>
      <c r="D28" s="515"/>
      <c r="E28" s="515"/>
      <c r="F28" s="515"/>
      <c r="G28" s="472"/>
    </row>
    <row r="29" spans="1:14" ht="30" customHeight="1" x14ac:dyDescent="0.25">
      <c r="B29" s="473"/>
      <c r="C29" s="516"/>
      <c r="D29" s="516"/>
      <c r="E29" s="516"/>
      <c r="F29" s="516"/>
      <c r="G29" s="474"/>
    </row>
    <row r="30" spans="1:14" x14ac:dyDescent="0.25">
      <c r="B30" s="473"/>
      <c r="C30" s="516"/>
      <c r="D30" s="516"/>
      <c r="E30" s="516"/>
      <c r="F30" s="516"/>
      <c r="G30" s="474"/>
    </row>
    <row r="31" spans="1:14" x14ac:dyDescent="0.25">
      <c r="B31" s="473"/>
      <c r="C31" s="516"/>
      <c r="D31" s="516"/>
      <c r="E31" s="516"/>
      <c r="F31" s="516"/>
      <c r="G31" s="474"/>
    </row>
    <row r="32" spans="1:14" x14ac:dyDescent="0.25">
      <c r="B32" s="473"/>
      <c r="C32" s="516"/>
      <c r="D32" s="516"/>
      <c r="E32" s="516"/>
      <c r="F32" s="516"/>
      <c r="G32" s="474"/>
    </row>
    <row r="33" spans="1:7" x14ac:dyDescent="0.25">
      <c r="B33" s="473"/>
      <c r="C33" s="516"/>
      <c r="D33" s="516"/>
      <c r="E33" s="516"/>
      <c r="F33" s="516"/>
      <c r="G33" s="474"/>
    </row>
    <row r="34" spans="1:7" x14ac:dyDescent="0.25">
      <c r="B34" s="473"/>
      <c r="C34" s="516"/>
      <c r="D34" s="516"/>
      <c r="E34" s="516"/>
      <c r="F34" s="516"/>
      <c r="G34" s="474"/>
    </row>
    <row r="35" spans="1:7" x14ac:dyDescent="0.25">
      <c r="B35" s="473"/>
      <c r="C35" s="516"/>
      <c r="D35" s="516"/>
      <c r="E35" s="516"/>
      <c r="F35" s="516"/>
      <c r="G35" s="474"/>
    </row>
    <row r="36" spans="1:7" x14ac:dyDescent="0.25">
      <c r="B36" s="473"/>
      <c r="C36" s="516"/>
      <c r="D36" s="516"/>
      <c r="E36" s="516"/>
      <c r="F36" s="516"/>
      <c r="G36" s="474"/>
    </row>
    <row r="37" spans="1:7" x14ac:dyDescent="0.25">
      <c r="B37" s="473"/>
      <c r="C37" s="516"/>
      <c r="D37" s="516"/>
      <c r="E37" s="516"/>
      <c r="F37" s="516"/>
      <c r="G37" s="474"/>
    </row>
    <row r="38" spans="1:7" x14ac:dyDescent="0.25">
      <c r="B38" s="473"/>
      <c r="C38" s="516"/>
      <c r="D38" s="516"/>
      <c r="E38" s="516"/>
      <c r="F38" s="516"/>
      <c r="G38" s="474"/>
    </row>
    <row r="39" spans="1:7" x14ac:dyDescent="0.25">
      <c r="B39" s="473"/>
      <c r="C39" s="516"/>
      <c r="D39" s="516"/>
      <c r="E39" s="516"/>
      <c r="F39" s="516"/>
      <c r="G39" s="474"/>
    </row>
    <row r="40" spans="1:7" x14ac:dyDescent="0.25">
      <c r="B40" s="473"/>
      <c r="C40" s="516"/>
      <c r="D40" s="516"/>
      <c r="E40" s="516"/>
      <c r="F40" s="516"/>
      <c r="G40" s="474"/>
    </row>
    <row r="41" spans="1:7" x14ac:dyDescent="0.25">
      <c r="B41" s="473"/>
      <c r="C41" s="516"/>
      <c r="D41" s="516"/>
      <c r="E41" s="516"/>
      <c r="F41" s="516"/>
      <c r="G41" s="474"/>
    </row>
    <row r="42" spans="1:7" x14ac:dyDescent="0.25">
      <c r="B42" s="475"/>
      <c r="C42" s="517"/>
      <c r="D42" s="517"/>
      <c r="E42" s="517"/>
      <c r="F42" s="517"/>
      <c r="G42" s="476"/>
    </row>
    <row r="44" spans="1:7" x14ac:dyDescent="0.25">
      <c r="A44" s="29"/>
      <c r="B44" s="29"/>
      <c r="C44" s="29"/>
      <c r="D44" s="29"/>
      <c r="E44" s="29"/>
      <c r="F44" s="29"/>
      <c r="G44" s="29"/>
    </row>
  </sheetData>
  <sheetProtection password="C644" sheet="1" objects="1" scenarios="1" selectLockedCells="1"/>
  <mergeCells count="2">
    <mergeCell ref="B28:G42"/>
    <mergeCell ref="P3:T12"/>
  </mergeCells>
  <dataValidations count="2">
    <dataValidation type="list" allowBlank="1" showInputMessage="1" showErrorMessage="1" sqref="C14:G14">
      <formula1>$M$5:$M$16</formula1>
    </dataValidation>
    <dataValidation type="list" allowBlank="1" showInputMessage="1" showErrorMessage="1" sqref="C10:G10">
      <formula1>$J$5:$J$19</formula1>
    </dataValidation>
  </dataValidations>
  <hyperlinks>
    <hyperlink ref="H10" location="'Outil modèle transport'!B2" display="Lien choix"/>
    <hyperlink ref="H14" location="'Outil modèle transport'!B16" display="Lien choix"/>
  </hyperlinks>
  <pageMargins left="0.25" right="0.25" top="0.75" bottom="0.75" header="0.3" footer="0.3"/>
  <pageSetup paperSize="9" scale="97" fitToHeight="2" orientation="landscape" r:id="rId1"/>
  <headerFooter>
    <oddHeader>&amp;CGrille d'évaluation de la durabilité de produits bois énergie d'importation</oddHeader>
    <oddFooter>&amp;L&amp;8ADEME Pays de la Loire&amp;C&amp;8BLEZAT CONSULTING &amp; AGENCE MTDA&amp;R&amp;8&amp;D / &amp;T</oddFooter>
  </headerFooter>
  <rowBreaks count="1" manualBreakCount="1">
    <brk id="24" max="6" man="1"/>
  </rowBreaks>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3"/>
  <sheetViews>
    <sheetView showGridLines="0" topLeftCell="A19" workbookViewId="0">
      <selection activeCell="B33" sqref="B33"/>
    </sheetView>
  </sheetViews>
  <sheetFormatPr baseColWidth="10" defaultRowHeight="15" x14ac:dyDescent="0.25"/>
  <cols>
    <col min="2" max="2" width="45.140625" bestFit="1" customWidth="1"/>
    <col min="3" max="3" width="30.42578125" bestFit="1" customWidth="1"/>
  </cols>
  <sheetData>
    <row r="1" spans="1:3" s="445" customFormat="1" ht="21" x14ac:dyDescent="0.35">
      <c r="A1" s="446" t="s">
        <v>544</v>
      </c>
    </row>
    <row r="3" spans="1:3" x14ac:dyDescent="0.25">
      <c r="B3" s="355" t="s">
        <v>338</v>
      </c>
      <c r="C3" s="356" t="s">
        <v>339</v>
      </c>
    </row>
    <row r="4" spans="1:3" x14ac:dyDescent="0.25">
      <c r="B4" s="357" t="s">
        <v>381</v>
      </c>
      <c r="C4" s="447">
        <v>4.8000000000000001E-4</v>
      </c>
    </row>
    <row r="5" spans="1:3" x14ac:dyDescent="0.25">
      <c r="B5" s="357" t="s">
        <v>383</v>
      </c>
      <c r="C5" s="447">
        <v>2.64E-3</v>
      </c>
    </row>
    <row r="6" spans="1:3" x14ac:dyDescent="0.25">
      <c r="B6" s="357" t="s">
        <v>384</v>
      </c>
      <c r="C6" s="447">
        <v>2.5500000000000002E-3</v>
      </c>
    </row>
    <row r="7" spans="1:3" x14ac:dyDescent="0.25">
      <c r="B7" s="357" t="s">
        <v>385</v>
      </c>
      <c r="C7" s="447">
        <v>1.8799999999999999E-3</v>
      </c>
    </row>
    <row r="8" spans="1:3" x14ac:dyDescent="0.25">
      <c r="B8" s="357" t="s">
        <v>386</v>
      </c>
      <c r="C8" s="447">
        <v>1.14E-3</v>
      </c>
    </row>
    <row r="9" spans="1:3" x14ac:dyDescent="0.25">
      <c r="B9" s="357" t="s">
        <v>387</v>
      </c>
      <c r="C9" s="447">
        <v>8.7000000000000001E-4</v>
      </c>
    </row>
    <row r="10" spans="1:3" x14ac:dyDescent="0.25">
      <c r="B10" s="357" t="s">
        <v>388</v>
      </c>
      <c r="C10" s="447">
        <v>1.08E-3</v>
      </c>
    </row>
    <row r="11" spans="1:3" x14ac:dyDescent="0.25">
      <c r="B11" s="357" t="s">
        <v>389</v>
      </c>
      <c r="C11" s="447">
        <v>7.9000000000000001E-4</v>
      </c>
    </row>
    <row r="12" spans="1:3" x14ac:dyDescent="0.25">
      <c r="B12" s="357" t="s">
        <v>390</v>
      </c>
      <c r="C12" s="447">
        <v>6.9999999999999999E-4</v>
      </c>
    </row>
    <row r="13" spans="1:3" x14ac:dyDescent="0.25">
      <c r="B13" s="357" t="s">
        <v>391</v>
      </c>
      <c r="C13" s="447">
        <v>6.4999999999999997E-4</v>
      </c>
    </row>
    <row r="14" spans="1:3" x14ac:dyDescent="0.25">
      <c r="B14" s="357" t="s">
        <v>392</v>
      </c>
      <c r="C14" s="447">
        <v>5.0000000000000001E-4</v>
      </c>
    </row>
    <row r="15" spans="1:3" x14ac:dyDescent="0.25">
      <c r="B15" s="357" t="s">
        <v>393</v>
      </c>
      <c r="C15" s="447">
        <v>4.8000000000000001E-4</v>
      </c>
    </row>
    <row r="17" spans="2:3" x14ac:dyDescent="0.25">
      <c r="B17" s="355" t="s">
        <v>340</v>
      </c>
      <c r="C17" s="356" t="s">
        <v>339</v>
      </c>
    </row>
    <row r="18" spans="2:3" x14ac:dyDescent="0.25">
      <c r="B18" s="357" t="s">
        <v>424</v>
      </c>
      <c r="C18" s="447">
        <f>C31</f>
        <v>6.3E-2</v>
      </c>
    </row>
    <row r="19" spans="2:3" x14ac:dyDescent="0.25">
      <c r="B19" s="357" t="s">
        <v>367</v>
      </c>
      <c r="C19" s="447">
        <v>0.77100000000000002</v>
      </c>
    </row>
    <row r="20" spans="2:3" x14ac:dyDescent="0.25">
      <c r="B20" s="357" t="s">
        <v>368</v>
      </c>
      <c r="C20" s="447">
        <v>0.67300000000000004</v>
      </c>
    </row>
    <row r="21" spans="2:3" x14ac:dyDescent="0.25">
      <c r="B21" s="357" t="s">
        <v>369</v>
      </c>
      <c r="C21" s="447">
        <v>0.503</v>
      </c>
    </row>
    <row r="22" spans="2:3" x14ac:dyDescent="0.25">
      <c r="B22" s="357" t="s">
        <v>370</v>
      </c>
      <c r="C22" s="447">
        <v>0.45100000000000001</v>
      </c>
    </row>
    <row r="23" spans="2:3" x14ac:dyDescent="0.25">
      <c r="B23" s="357" t="s">
        <v>371</v>
      </c>
      <c r="C23" s="447">
        <v>0.49299999999999999</v>
      </c>
    </row>
    <row r="24" spans="2:3" x14ac:dyDescent="0.25">
      <c r="B24" s="357" t="s">
        <v>372</v>
      </c>
      <c r="C24" s="447">
        <v>0.33700000000000002</v>
      </c>
    </row>
    <row r="25" spans="2:3" x14ac:dyDescent="0.25">
      <c r="B25" s="357" t="s">
        <v>373</v>
      </c>
      <c r="C25" s="447">
        <v>0.32800000000000001</v>
      </c>
    </row>
    <row r="26" spans="2:3" x14ac:dyDescent="0.25">
      <c r="B26" s="357" t="s">
        <v>374</v>
      </c>
      <c r="C26" s="447">
        <v>0.28199999999999997</v>
      </c>
    </row>
    <row r="27" spans="2:3" x14ac:dyDescent="0.25">
      <c r="B27" s="357" t="s">
        <v>375</v>
      </c>
      <c r="C27" s="447">
        <v>0.192</v>
      </c>
    </row>
    <row r="28" spans="2:3" x14ac:dyDescent="0.25">
      <c r="B28" s="357" t="s">
        <v>376</v>
      </c>
      <c r="C28" s="447">
        <v>0.14299999999999999</v>
      </c>
    </row>
    <row r="29" spans="2:3" x14ac:dyDescent="0.25">
      <c r="B29" s="357" t="s">
        <v>377</v>
      </c>
      <c r="C29" s="447">
        <v>7.3999999999999996E-2</v>
      </c>
    </row>
    <row r="30" spans="2:3" x14ac:dyDescent="0.25">
      <c r="B30" s="357" t="s">
        <v>378</v>
      </c>
      <c r="C30" s="447">
        <v>7.0999999999999994E-2</v>
      </c>
    </row>
    <row r="31" spans="2:3" x14ac:dyDescent="0.25">
      <c r="B31" s="357" t="s">
        <v>379</v>
      </c>
      <c r="C31" s="447">
        <v>6.3E-2</v>
      </c>
    </row>
    <row r="33" spans="2:2" x14ac:dyDescent="0.25">
      <c r="B33" s="417" t="s">
        <v>527</v>
      </c>
    </row>
  </sheetData>
  <sheetProtection password="C644" sheet="1" objects="1" scenarios="1"/>
  <hyperlinks>
    <hyperlink ref="B33" location="'Outil Transport'!Zone_d_impression" display="&gt; revenir à la page précédent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63"/>
  <sheetViews>
    <sheetView showGridLines="0" workbookViewId="0">
      <pane ySplit="5" topLeftCell="A6" activePane="bottomLeft" state="frozen"/>
      <selection activeCell="C35" sqref="C35:D35"/>
      <selection pane="bottomLeft" activeCell="J255" sqref="J255"/>
    </sheetView>
  </sheetViews>
  <sheetFormatPr baseColWidth="10" defaultColWidth="9.140625" defaultRowHeight="12.75" x14ac:dyDescent="0.2"/>
  <cols>
    <col min="1" max="1" width="34.28515625" style="4" customWidth="1"/>
    <col min="2" max="5" width="9.140625" style="4" customWidth="1"/>
    <col min="6" max="10" width="6.28515625" style="4" customWidth="1"/>
    <col min="11" max="11" width="10.7109375" style="4" bestFit="1" customWidth="1"/>
    <col min="12" max="16384" width="9.140625" style="4"/>
  </cols>
  <sheetData>
    <row r="1" spans="1:11" ht="18" x14ac:dyDescent="0.25">
      <c r="A1" s="521" t="s">
        <v>545</v>
      </c>
      <c r="B1" s="521"/>
      <c r="C1" s="521"/>
      <c r="D1" s="521"/>
      <c r="E1" s="521"/>
      <c r="F1" s="521"/>
      <c r="G1" s="521"/>
      <c r="H1" s="521"/>
      <c r="I1" s="521"/>
      <c r="J1" s="521"/>
      <c r="K1" s="521"/>
    </row>
    <row r="2" spans="1:11" x14ac:dyDescent="0.2">
      <c r="A2" s="437"/>
      <c r="B2" s="437"/>
      <c r="C2" s="437"/>
      <c r="D2" s="437"/>
      <c r="E2" s="437"/>
      <c r="F2" s="437"/>
      <c r="G2" s="437"/>
      <c r="H2" s="437"/>
      <c r="I2" s="437"/>
      <c r="J2" s="437"/>
      <c r="K2" s="437"/>
    </row>
    <row r="3" spans="1:11" x14ac:dyDescent="0.2">
      <c r="A3" s="522" t="s">
        <v>114</v>
      </c>
      <c r="B3" s="518" t="s">
        <v>115</v>
      </c>
      <c r="C3" s="518"/>
      <c r="D3" s="518"/>
      <c r="E3" s="518"/>
      <c r="F3" s="518" t="s">
        <v>116</v>
      </c>
      <c r="G3" s="518"/>
      <c r="H3" s="518"/>
      <c r="I3" s="518"/>
      <c r="J3" s="518"/>
      <c r="K3" s="518"/>
    </row>
    <row r="4" spans="1:11" x14ac:dyDescent="0.2">
      <c r="A4" s="523"/>
      <c r="B4" s="525">
        <v>1990</v>
      </c>
      <c r="C4" s="525">
        <v>2000</v>
      </c>
      <c r="D4" s="525">
        <v>2005</v>
      </c>
      <c r="E4" s="525">
        <v>2010</v>
      </c>
      <c r="F4" s="518" t="s">
        <v>117</v>
      </c>
      <c r="G4" s="518"/>
      <c r="H4" s="518" t="s">
        <v>118</v>
      </c>
      <c r="I4" s="518"/>
      <c r="J4" s="518" t="s">
        <v>119</v>
      </c>
      <c r="K4" s="518"/>
    </row>
    <row r="5" spans="1:11" ht="22.5" x14ac:dyDescent="0.2">
      <c r="A5" s="524"/>
      <c r="B5" s="525"/>
      <c r="C5" s="525"/>
      <c r="D5" s="525"/>
      <c r="E5" s="525"/>
      <c r="F5" s="448" t="s">
        <v>120</v>
      </c>
      <c r="G5" s="449" t="s">
        <v>546</v>
      </c>
      <c r="H5" s="448" t="s">
        <v>120</v>
      </c>
      <c r="I5" s="449" t="s">
        <v>546</v>
      </c>
      <c r="J5" s="448" t="s">
        <v>120</v>
      </c>
      <c r="K5" s="449" t="s">
        <v>546</v>
      </c>
    </row>
    <row r="6" spans="1:11" s="101" customFormat="1" x14ac:dyDescent="0.2">
      <c r="A6" s="102" t="s">
        <v>310</v>
      </c>
      <c r="B6" s="103"/>
      <c r="C6" s="103"/>
      <c r="D6" s="103"/>
      <c r="E6" s="103"/>
      <c r="F6" s="104"/>
      <c r="G6" s="105"/>
      <c r="H6" s="104"/>
      <c r="I6" s="105"/>
      <c r="J6" s="106">
        <v>0</v>
      </c>
      <c r="K6" s="107" t="s">
        <v>429</v>
      </c>
    </row>
    <row r="7" spans="1:11" x14ac:dyDescent="0.2">
      <c r="A7" s="5" t="s">
        <v>33</v>
      </c>
      <c r="B7" s="6">
        <v>9241</v>
      </c>
      <c r="C7" s="6">
        <v>9241</v>
      </c>
      <c r="D7" s="6">
        <v>9241</v>
      </c>
      <c r="E7" s="6">
        <v>9241</v>
      </c>
      <c r="F7" s="6">
        <v>0</v>
      </c>
      <c r="G7" s="6">
        <v>0</v>
      </c>
      <c r="H7" s="6">
        <v>0</v>
      </c>
      <c r="I7" s="6">
        <v>0</v>
      </c>
      <c r="J7" s="6">
        <v>0</v>
      </c>
      <c r="K7" s="6">
        <v>0</v>
      </c>
    </row>
    <row r="8" spans="1:11" x14ac:dyDescent="0.2">
      <c r="A8" s="5" t="s">
        <v>38</v>
      </c>
      <c r="B8" s="6">
        <v>60976</v>
      </c>
      <c r="C8" s="6">
        <v>59728</v>
      </c>
      <c r="D8" s="6">
        <v>59104</v>
      </c>
      <c r="E8" s="6">
        <v>58480</v>
      </c>
      <c r="F8" s="6">
        <v>-125</v>
      </c>
      <c r="G8" s="7">
        <v>-0.21</v>
      </c>
      <c r="H8" s="6">
        <v>-125</v>
      </c>
      <c r="I8" s="7">
        <v>-0.21</v>
      </c>
      <c r="J8" s="6">
        <v>-125</v>
      </c>
      <c r="K8" s="7">
        <v>-0.21</v>
      </c>
    </row>
    <row r="9" spans="1:11" x14ac:dyDescent="0.2">
      <c r="A9" s="5" t="s">
        <v>46</v>
      </c>
      <c r="B9" s="6">
        <v>13718</v>
      </c>
      <c r="C9" s="6">
        <v>12535</v>
      </c>
      <c r="D9" s="6">
        <v>11943</v>
      </c>
      <c r="E9" s="6">
        <v>11351</v>
      </c>
      <c r="F9" s="6">
        <v>-118</v>
      </c>
      <c r="G9" s="8">
        <v>-0.9</v>
      </c>
      <c r="H9" s="6">
        <v>-118</v>
      </c>
      <c r="I9" s="7">
        <v>-0.96</v>
      </c>
      <c r="J9" s="6">
        <v>-118</v>
      </c>
      <c r="K9" s="7">
        <v>-1.01</v>
      </c>
    </row>
    <row r="10" spans="1:11" x14ac:dyDescent="0.2">
      <c r="A10" s="5" t="s">
        <v>121</v>
      </c>
      <c r="B10" s="6">
        <v>12</v>
      </c>
      <c r="C10" s="6">
        <v>8</v>
      </c>
      <c r="D10" s="6">
        <v>5</v>
      </c>
      <c r="E10" s="6">
        <v>3</v>
      </c>
      <c r="F10" s="9" t="s">
        <v>47</v>
      </c>
      <c r="G10" s="7">
        <v>-3.97</v>
      </c>
      <c r="H10" s="6">
        <v>-1</v>
      </c>
      <c r="I10" s="7">
        <v>-8.9700000000000006</v>
      </c>
      <c r="J10" s="9" t="s">
        <v>47</v>
      </c>
      <c r="K10" s="7">
        <v>-9.7100000000000009</v>
      </c>
    </row>
    <row r="11" spans="1:11" x14ac:dyDescent="0.2">
      <c r="A11" s="5" t="s">
        <v>59</v>
      </c>
      <c r="B11" s="6">
        <v>6</v>
      </c>
      <c r="C11" s="6">
        <v>6</v>
      </c>
      <c r="D11" s="6">
        <v>6</v>
      </c>
      <c r="E11" s="6">
        <v>6</v>
      </c>
      <c r="F11" s="6">
        <v>0</v>
      </c>
      <c r="G11" s="6">
        <v>0</v>
      </c>
      <c r="H11" s="6">
        <v>0</v>
      </c>
      <c r="I11" s="6">
        <v>0</v>
      </c>
      <c r="J11" s="6">
        <v>0</v>
      </c>
      <c r="K11" s="6">
        <v>0</v>
      </c>
    </row>
    <row r="12" spans="1:11" x14ac:dyDescent="0.2">
      <c r="A12" s="5" t="s">
        <v>122</v>
      </c>
      <c r="B12" s="6">
        <v>1621</v>
      </c>
      <c r="C12" s="6">
        <v>1576</v>
      </c>
      <c r="D12" s="6">
        <v>1554</v>
      </c>
      <c r="E12" s="6">
        <v>1532</v>
      </c>
      <c r="F12" s="6">
        <v>-5</v>
      </c>
      <c r="G12" s="7">
        <v>-0.28000000000000003</v>
      </c>
      <c r="H12" s="6">
        <v>-4</v>
      </c>
      <c r="I12" s="7">
        <v>-0.28000000000000003</v>
      </c>
      <c r="J12" s="6">
        <v>-4</v>
      </c>
      <c r="K12" s="7">
        <v>-0.28000000000000003</v>
      </c>
    </row>
    <row r="13" spans="1:11" x14ac:dyDescent="0.2">
      <c r="A13" s="5" t="s">
        <v>123</v>
      </c>
      <c r="B13" s="6">
        <v>15114</v>
      </c>
      <c r="C13" s="6">
        <v>13705</v>
      </c>
      <c r="D13" s="6">
        <v>13000</v>
      </c>
      <c r="E13" s="6">
        <v>12296</v>
      </c>
      <c r="F13" s="6">
        <v>-141</v>
      </c>
      <c r="G13" s="7">
        <v>-0.97</v>
      </c>
      <c r="H13" s="6">
        <v>-141</v>
      </c>
      <c r="I13" s="7">
        <v>-1.05</v>
      </c>
      <c r="J13" s="6">
        <v>-141</v>
      </c>
      <c r="K13" s="7">
        <v>-1.1100000000000001</v>
      </c>
    </row>
    <row r="14" spans="1:11" x14ac:dyDescent="0.2">
      <c r="A14" s="5" t="s">
        <v>48</v>
      </c>
      <c r="B14" s="6">
        <v>3708</v>
      </c>
      <c r="C14" s="6">
        <v>3582</v>
      </c>
      <c r="D14" s="6">
        <v>3522</v>
      </c>
      <c r="E14" s="6">
        <v>3467</v>
      </c>
      <c r="F14" s="6">
        <v>-13</v>
      </c>
      <c r="G14" s="7">
        <v>-0.35</v>
      </c>
      <c r="H14" s="6">
        <v>-12</v>
      </c>
      <c r="I14" s="7">
        <v>-0.34</v>
      </c>
      <c r="J14" s="6">
        <v>-11</v>
      </c>
      <c r="K14" s="7">
        <v>-0.31</v>
      </c>
    </row>
    <row r="15" spans="1:11" x14ac:dyDescent="0.2">
      <c r="A15" s="5" t="s">
        <v>49</v>
      </c>
      <c r="B15" s="6">
        <v>40</v>
      </c>
      <c r="C15" s="6">
        <v>42</v>
      </c>
      <c r="D15" s="6">
        <v>43</v>
      </c>
      <c r="E15" s="6">
        <v>44</v>
      </c>
      <c r="F15" s="9" t="s">
        <v>47</v>
      </c>
      <c r="G15" s="7">
        <v>0.49</v>
      </c>
      <c r="H15" s="9" t="s">
        <v>47</v>
      </c>
      <c r="I15" s="7">
        <v>0.47</v>
      </c>
      <c r="J15" s="9" t="s">
        <v>47</v>
      </c>
      <c r="K15" s="7">
        <v>0.46</v>
      </c>
    </row>
    <row r="16" spans="1:11" x14ac:dyDescent="0.2">
      <c r="A16" s="5" t="s">
        <v>50</v>
      </c>
      <c r="B16" s="6">
        <v>13692</v>
      </c>
      <c r="C16" s="6">
        <v>13122</v>
      </c>
      <c r="D16" s="6">
        <v>12838</v>
      </c>
      <c r="E16" s="6">
        <v>12553</v>
      </c>
      <c r="F16" s="6">
        <v>-57</v>
      </c>
      <c r="G16" s="7">
        <v>-0.42</v>
      </c>
      <c r="H16" s="6">
        <v>-57</v>
      </c>
      <c r="I16" s="7">
        <v>-0.44</v>
      </c>
      <c r="J16" s="6">
        <v>-57</v>
      </c>
      <c r="K16" s="7">
        <v>-0.45</v>
      </c>
    </row>
    <row r="17" spans="1:11" x14ac:dyDescent="0.2">
      <c r="A17" s="5" t="s">
        <v>51</v>
      </c>
      <c r="B17" s="6">
        <v>3896</v>
      </c>
      <c r="C17" s="6">
        <v>3567</v>
      </c>
      <c r="D17" s="6">
        <v>3402</v>
      </c>
      <c r="E17" s="6">
        <v>3237</v>
      </c>
      <c r="F17" s="6">
        <v>-33</v>
      </c>
      <c r="G17" s="7">
        <v>-0.88</v>
      </c>
      <c r="H17" s="6">
        <v>-33</v>
      </c>
      <c r="I17" s="7">
        <v>-0.94</v>
      </c>
      <c r="J17" s="6">
        <v>-33</v>
      </c>
      <c r="K17" s="7">
        <v>-0.99</v>
      </c>
    </row>
    <row r="18" spans="1:11" x14ac:dyDescent="0.2">
      <c r="A18" s="5" t="s">
        <v>124</v>
      </c>
      <c r="B18" s="6">
        <v>39</v>
      </c>
      <c r="C18" s="6">
        <v>39</v>
      </c>
      <c r="D18" s="6">
        <v>35</v>
      </c>
      <c r="E18" s="6">
        <v>35</v>
      </c>
      <c r="F18" s="9" t="s">
        <v>47</v>
      </c>
      <c r="G18" s="7">
        <v>-0.03</v>
      </c>
      <c r="H18" s="6">
        <v>-1</v>
      </c>
      <c r="I18" s="7">
        <v>-2.0499999999999998</v>
      </c>
      <c r="J18" s="9" t="s">
        <v>47</v>
      </c>
      <c r="K18" s="7">
        <v>0.06</v>
      </c>
    </row>
    <row r="19" spans="1:11" x14ac:dyDescent="0.2">
      <c r="A19" s="5" t="s">
        <v>52</v>
      </c>
      <c r="B19" s="6">
        <v>18</v>
      </c>
      <c r="C19" s="6">
        <v>16</v>
      </c>
      <c r="D19" s="6">
        <v>15</v>
      </c>
      <c r="E19" s="6">
        <v>14</v>
      </c>
      <c r="F19" s="9" t="s">
        <v>47</v>
      </c>
      <c r="G19" s="7">
        <v>-1.1499999999999999</v>
      </c>
      <c r="H19" s="9" t="s">
        <v>47</v>
      </c>
      <c r="I19" s="7">
        <v>-1.26</v>
      </c>
      <c r="J19" s="9" t="s">
        <v>47</v>
      </c>
      <c r="K19" s="7">
        <v>-1.35</v>
      </c>
    </row>
    <row r="20" spans="1:11" x14ac:dyDescent="0.2">
      <c r="A20" s="5" t="s">
        <v>53</v>
      </c>
      <c r="B20" s="6">
        <v>43378</v>
      </c>
      <c r="C20" s="6">
        <v>41188</v>
      </c>
      <c r="D20" s="6">
        <v>40079</v>
      </c>
      <c r="E20" s="6">
        <v>39022</v>
      </c>
      <c r="F20" s="6">
        <v>-219</v>
      </c>
      <c r="G20" s="7">
        <v>-0.52</v>
      </c>
      <c r="H20" s="6">
        <v>-222</v>
      </c>
      <c r="I20" s="7">
        <v>-0.54</v>
      </c>
      <c r="J20" s="6">
        <v>-211</v>
      </c>
      <c r="K20" s="7">
        <v>-0.53</v>
      </c>
    </row>
    <row r="21" spans="1:11" x14ac:dyDescent="0.2">
      <c r="A21" s="5" t="s">
        <v>125</v>
      </c>
      <c r="B21" s="6">
        <v>8762</v>
      </c>
      <c r="C21" s="6">
        <v>8032</v>
      </c>
      <c r="D21" s="6">
        <v>7661</v>
      </c>
      <c r="E21" s="6">
        <v>7290</v>
      </c>
      <c r="F21" s="6">
        <v>-73</v>
      </c>
      <c r="G21" s="7">
        <v>-0.87</v>
      </c>
      <c r="H21" s="6">
        <v>-74</v>
      </c>
      <c r="I21" s="7">
        <v>-0.94</v>
      </c>
      <c r="J21" s="6">
        <v>-74</v>
      </c>
      <c r="K21" s="7">
        <v>-0.99</v>
      </c>
    </row>
    <row r="22" spans="1:11" x14ac:dyDescent="0.2">
      <c r="A22" s="5" t="s">
        <v>126</v>
      </c>
      <c r="B22" s="6">
        <v>4751</v>
      </c>
      <c r="C22" s="6">
        <v>3869</v>
      </c>
      <c r="D22" s="6">
        <v>3429</v>
      </c>
      <c r="E22" s="6">
        <v>2988</v>
      </c>
      <c r="F22" s="6">
        <v>-88</v>
      </c>
      <c r="G22" s="7">
        <v>-2.0299999999999998</v>
      </c>
      <c r="H22" s="6">
        <v>-88</v>
      </c>
      <c r="I22" s="7">
        <v>-2.39</v>
      </c>
      <c r="J22" s="6">
        <v>-88</v>
      </c>
      <c r="K22" s="7">
        <v>-2.72</v>
      </c>
    </row>
    <row r="23" spans="1:11" x14ac:dyDescent="0.2">
      <c r="A23" s="5" t="s">
        <v>127</v>
      </c>
      <c r="B23" s="6">
        <v>41495</v>
      </c>
      <c r="C23" s="6">
        <v>37462</v>
      </c>
      <c r="D23" s="6">
        <v>35445</v>
      </c>
      <c r="E23" s="6">
        <v>33428</v>
      </c>
      <c r="F23" s="6">
        <v>-403</v>
      </c>
      <c r="G23" s="7">
        <v>-1.02</v>
      </c>
      <c r="H23" s="6">
        <v>-403</v>
      </c>
      <c r="I23" s="8">
        <v>-1.1000000000000001</v>
      </c>
      <c r="J23" s="6">
        <v>-403</v>
      </c>
      <c r="K23" s="7">
        <v>-1.1599999999999999</v>
      </c>
    </row>
    <row r="24" spans="1:11" x14ac:dyDescent="0.2">
      <c r="A24" s="5" t="s">
        <v>54</v>
      </c>
      <c r="B24" s="6">
        <v>87</v>
      </c>
      <c r="C24" s="6">
        <v>87</v>
      </c>
      <c r="D24" s="6">
        <v>85</v>
      </c>
      <c r="E24" s="6">
        <v>88</v>
      </c>
      <c r="F24" s="6">
        <v>0</v>
      </c>
      <c r="G24" s="6">
        <v>0</v>
      </c>
      <c r="H24" s="9" t="s">
        <v>47</v>
      </c>
      <c r="I24" s="7">
        <v>-0.46</v>
      </c>
      <c r="J24" s="6">
        <v>1</v>
      </c>
      <c r="K24" s="8">
        <v>0.7</v>
      </c>
    </row>
    <row r="25" spans="1:11" x14ac:dyDescent="0.2">
      <c r="A25" s="5" t="s">
        <v>55</v>
      </c>
      <c r="B25" s="6">
        <v>41</v>
      </c>
      <c r="C25" s="6">
        <v>41</v>
      </c>
      <c r="D25" s="6">
        <v>41</v>
      </c>
      <c r="E25" s="6">
        <v>41</v>
      </c>
      <c r="F25" s="6">
        <v>0</v>
      </c>
      <c r="G25" s="6">
        <v>0</v>
      </c>
      <c r="H25" s="6">
        <v>0</v>
      </c>
      <c r="I25" s="6">
        <v>0</v>
      </c>
      <c r="J25" s="6">
        <v>0</v>
      </c>
      <c r="K25" s="6">
        <v>0</v>
      </c>
    </row>
    <row r="26" spans="1:11" x14ac:dyDescent="0.2">
      <c r="A26" s="5" t="s">
        <v>128</v>
      </c>
      <c r="B26" s="6">
        <v>8282</v>
      </c>
      <c r="C26" s="6">
        <v>7515</v>
      </c>
      <c r="D26" s="6">
        <v>7131</v>
      </c>
      <c r="E26" s="6">
        <v>6747</v>
      </c>
      <c r="F26" s="6">
        <v>-77</v>
      </c>
      <c r="G26" s="7">
        <v>-0.97</v>
      </c>
      <c r="H26" s="6">
        <v>-77</v>
      </c>
      <c r="I26" s="7">
        <v>-1.04</v>
      </c>
      <c r="J26" s="6">
        <v>-77</v>
      </c>
      <c r="K26" s="8">
        <v>-1.1000000000000001</v>
      </c>
    </row>
    <row r="27" spans="1:11" x14ac:dyDescent="0.2">
      <c r="A27" s="5" t="s">
        <v>56</v>
      </c>
      <c r="B27" s="6">
        <v>472</v>
      </c>
      <c r="C27" s="6">
        <v>518</v>
      </c>
      <c r="D27" s="6">
        <v>541</v>
      </c>
      <c r="E27" s="6">
        <v>563</v>
      </c>
      <c r="F27" s="6">
        <v>5</v>
      </c>
      <c r="G27" s="7">
        <v>0.93</v>
      </c>
      <c r="H27" s="6">
        <v>5</v>
      </c>
      <c r="I27" s="7">
        <v>0.87</v>
      </c>
      <c r="J27" s="6">
        <v>4</v>
      </c>
      <c r="K27" s="8">
        <v>0.8</v>
      </c>
    </row>
    <row r="28" spans="1:11" x14ac:dyDescent="0.2">
      <c r="A28" s="5" t="s">
        <v>129</v>
      </c>
      <c r="B28" s="6">
        <v>52800</v>
      </c>
      <c r="C28" s="6">
        <v>51134</v>
      </c>
      <c r="D28" s="6">
        <v>50301</v>
      </c>
      <c r="E28" s="6">
        <v>49468</v>
      </c>
      <c r="F28" s="6">
        <v>-167</v>
      </c>
      <c r="G28" s="7">
        <v>-0.32</v>
      </c>
      <c r="H28" s="6">
        <v>-167</v>
      </c>
      <c r="I28" s="7">
        <v>-0.33</v>
      </c>
      <c r="J28" s="6">
        <v>-167</v>
      </c>
      <c r="K28" s="7">
        <v>-0.33</v>
      </c>
    </row>
    <row r="29" spans="1:11" x14ac:dyDescent="0.2">
      <c r="A29" s="5" t="s">
        <v>57</v>
      </c>
      <c r="B29" s="6">
        <v>22164</v>
      </c>
      <c r="C29" s="6">
        <v>18894</v>
      </c>
      <c r="D29" s="6">
        <v>17259</v>
      </c>
      <c r="E29" s="6">
        <v>15624</v>
      </c>
      <c r="F29" s="6">
        <v>-327</v>
      </c>
      <c r="G29" s="7">
        <v>-1.58</v>
      </c>
      <c r="H29" s="6">
        <v>-327</v>
      </c>
      <c r="I29" s="7">
        <v>-1.79</v>
      </c>
      <c r="J29" s="6">
        <v>-327</v>
      </c>
      <c r="K29" s="7">
        <v>-1.97</v>
      </c>
    </row>
    <row r="30" spans="1:11" x14ac:dyDescent="0.2">
      <c r="A30" s="10" t="s">
        <v>130</v>
      </c>
      <c r="B30" s="11">
        <v>304312</v>
      </c>
      <c r="C30" s="11">
        <v>285906</v>
      </c>
      <c r="D30" s="11">
        <v>276679</v>
      </c>
      <c r="E30" s="11">
        <v>267517</v>
      </c>
      <c r="F30" s="11">
        <v>-1841</v>
      </c>
      <c r="G30" s="12">
        <v>-0.62</v>
      </c>
      <c r="H30" s="11">
        <v>-1845</v>
      </c>
      <c r="I30" s="12">
        <v>-0.65</v>
      </c>
      <c r="J30" s="11">
        <v>-1832</v>
      </c>
      <c r="K30" s="12">
        <v>-0.67</v>
      </c>
    </row>
    <row r="31" spans="1:11" x14ac:dyDescent="0.2">
      <c r="A31" s="5" t="s">
        <v>35</v>
      </c>
      <c r="B31" s="6">
        <v>1667</v>
      </c>
      <c r="C31" s="6">
        <v>1579</v>
      </c>
      <c r="D31" s="6">
        <v>1536</v>
      </c>
      <c r="E31" s="6">
        <v>1492</v>
      </c>
      <c r="F31" s="6">
        <v>-9</v>
      </c>
      <c r="G31" s="7">
        <v>-0.54</v>
      </c>
      <c r="H31" s="6">
        <v>-9</v>
      </c>
      <c r="I31" s="7">
        <v>-0.55000000000000004</v>
      </c>
      <c r="J31" s="6">
        <v>-9</v>
      </c>
      <c r="K31" s="7">
        <v>-0.57999999999999996</v>
      </c>
    </row>
    <row r="32" spans="1:11" x14ac:dyDescent="0.2">
      <c r="A32" s="5" t="s">
        <v>131</v>
      </c>
      <c r="B32" s="6">
        <v>44</v>
      </c>
      <c r="C32" s="6">
        <v>59</v>
      </c>
      <c r="D32" s="6">
        <v>67</v>
      </c>
      <c r="E32" s="6">
        <v>70</v>
      </c>
      <c r="F32" s="6">
        <v>2</v>
      </c>
      <c r="G32" s="7">
        <v>2.98</v>
      </c>
      <c r="H32" s="6">
        <v>2</v>
      </c>
      <c r="I32" s="7">
        <v>2.58</v>
      </c>
      <c r="J32" s="6">
        <v>1</v>
      </c>
      <c r="K32" s="7">
        <v>0.88</v>
      </c>
    </row>
    <row r="33" spans="1:11" x14ac:dyDescent="0.2">
      <c r="A33" s="5" t="s">
        <v>132</v>
      </c>
      <c r="B33" s="6">
        <v>217</v>
      </c>
      <c r="C33" s="6">
        <v>217</v>
      </c>
      <c r="D33" s="6">
        <v>217</v>
      </c>
      <c r="E33" s="6">
        <v>217</v>
      </c>
      <c r="F33" s="6">
        <v>0</v>
      </c>
      <c r="G33" s="6">
        <v>0</v>
      </c>
      <c r="H33" s="6">
        <v>0</v>
      </c>
      <c r="I33" s="6">
        <v>0</v>
      </c>
      <c r="J33" s="6">
        <v>0</v>
      </c>
      <c r="K33" s="6">
        <v>0</v>
      </c>
    </row>
    <row r="34" spans="1:11" x14ac:dyDescent="0.2">
      <c r="A34" s="5" t="s">
        <v>133</v>
      </c>
      <c r="B34" s="6">
        <v>5049</v>
      </c>
      <c r="C34" s="6">
        <v>5017</v>
      </c>
      <c r="D34" s="6">
        <v>5081</v>
      </c>
      <c r="E34" s="6">
        <v>5131</v>
      </c>
      <c r="F34" s="6">
        <v>-3</v>
      </c>
      <c r="G34" s="7">
        <v>-0.06</v>
      </c>
      <c r="H34" s="6">
        <v>13</v>
      </c>
      <c r="I34" s="7">
        <v>0.25</v>
      </c>
      <c r="J34" s="6">
        <v>10</v>
      </c>
      <c r="K34" s="8">
        <v>0.2</v>
      </c>
    </row>
    <row r="35" spans="1:11" x14ac:dyDescent="0.2">
      <c r="A35" s="5" t="s">
        <v>134</v>
      </c>
      <c r="B35" s="6">
        <v>415</v>
      </c>
      <c r="C35" s="6">
        <v>317</v>
      </c>
      <c r="D35" s="6">
        <v>267</v>
      </c>
      <c r="E35" s="6">
        <v>242</v>
      </c>
      <c r="F35" s="6">
        <v>-10</v>
      </c>
      <c r="G35" s="7">
        <v>-2.66</v>
      </c>
      <c r="H35" s="6">
        <v>-10</v>
      </c>
      <c r="I35" s="7">
        <v>-3.37</v>
      </c>
      <c r="J35" s="6">
        <v>-5</v>
      </c>
      <c r="K35" s="7">
        <v>-1.95</v>
      </c>
    </row>
    <row r="36" spans="1:11" x14ac:dyDescent="0.2">
      <c r="A36" s="5" t="s">
        <v>135</v>
      </c>
      <c r="B36" s="6">
        <v>707</v>
      </c>
      <c r="C36" s="6">
        <v>707</v>
      </c>
      <c r="D36" s="6">
        <v>707</v>
      </c>
      <c r="E36" s="6">
        <v>707</v>
      </c>
      <c r="F36" s="6">
        <v>0</v>
      </c>
      <c r="G36" s="6">
        <v>0</v>
      </c>
      <c r="H36" s="6">
        <v>0</v>
      </c>
      <c r="I36" s="6">
        <v>0</v>
      </c>
      <c r="J36" s="6">
        <v>0</v>
      </c>
      <c r="K36" s="6">
        <v>0</v>
      </c>
    </row>
    <row r="37" spans="1:11" x14ac:dyDescent="0.2">
      <c r="A37" s="5" t="s">
        <v>136</v>
      </c>
      <c r="B37" s="6">
        <v>76381</v>
      </c>
      <c r="C37" s="6">
        <v>70491</v>
      </c>
      <c r="D37" s="6">
        <v>70220</v>
      </c>
      <c r="E37" s="6">
        <v>69949</v>
      </c>
      <c r="F37" s="6">
        <v>-589</v>
      </c>
      <c r="G37" s="8">
        <v>-0.8</v>
      </c>
      <c r="H37" s="6">
        <v>-54</v>
      </c>
      <c r="I37" s="7">
        <v>-0.08</v>
      </c>
      <c r="J37" s="6">
        <v>-54</v>
      </c>
      <c r="K37" s="7">
        <v>-0.08</v>
      </c>
    </row>
    <row r="38" spans="1:11" x14ac:dyDescent="0.2">
      <c r="A38" s="5" t="s">
        <v>137</v>
      </c>
      <c r="B38" s="6">
        <v>643</v>
      </c>
      <c r="C38" s="6">
        <v>837</v>
      </c>
      <c r="D38" s="6">
        <v>924</v>
      </c>
      <c r="E38" s="6">
        <v>1006</v>
      </c>
      <c r="F38" s="6">
        <v>19</v>
      </c>
      <c r="G38" s="7">
        <v>2.67</v>
      </c>
      <c r="H38" s="6">
        <v>17</v>
      </c>
      <c r="I38" s="13">
        <v>2</v>
      </c>
      <c r="J38" s="6">
        <v>16</v>
      </c>
      <c r="K38" s="7">
        <v>1.72</v>
      </c>
    </row>
    <row r="39" spans="1:11" x14ac:dyDescent="0.2">
      <c r="A39" s="10" t="s">
        <v>138</v>
      </c>
      <c r="B39" s="11">
        <v>85123</v>
      </c>
      <c r="C39" s="11">
        <v>79224</v>
      </c>
      <c r="D39" s="11">
        <v>79019</v>
      </c>
      <c r="E39" s="11">
        <v>78814</v>
      </c>
      <c r="F39" s="11">
        <v>-590</v>
      </c>
      <c r="G39" s="12">
        <v>-0.72</v>
      </c>
      <c r="H39" s="11">
        <v>-41</v>
      </c>
      <c r="I39" s="12">
        <v>-0.05</v>
      </c>
      <c r="J39" s="11">
        <v>-41</v>
      </c>
      <c r="K39" s="12">
        <v>-0.05</v>
      </c>
    </row>
    <row r="40" spans="1:11" x14ac:dyDescent="0.2">
      <c r="A40" s="5" t="s">
        <v>139</v>
      </c>
      <c r="B40" s="6">
        <v>5761</v>
      </c>
      <c r="C40" s="6">
        <v>5061</v>
      </c>
      <c r="D40" s="6">
        <v>4811</v>
      </c>
      <c r="E40" s="6">
        <v>4561</v>
      </c>
      <c r="F40" s="6">
        <v>-70</v>
      </c>
      <c r="G40" s="7">
        <v>-1.29</v>
      </c>
      <c r="H40" s="6">
        <v>-50</v>
      </c>
      <c r="I40" s="7">
        <v>-1.01</v>
      </c>
      <c r="J40" s="6">
        <v>-50</v>
      </c>
      <c r="K40" s="7">
        <v>-1.06</v>
      </c>
    </row>
    <row r="41" spans="1:11" x14ac:dyDescent="0.2">
      <c r="A41" s="5" t="s">
        <v>58</v>
      </c>
      <c r="B41" s="6">
        <v>6847</v>
      </c>
      <c r="C41" s="6">
        <v>6248</v>
      </c>
      <c r="D41" s="6">
        <v>5949</v>
      </c>
      <c r="E41" s="6">
        <v>5649</v>
      </c>
      <c r="F41" s="6">
        <v>-60</v>
      </c>
      <c r="G41" s="7">
        <v>-0.91</v>
      </c>
      <c r="H41" s="6">
        <v>-60</v>
      </c>
      <c r="I41" s="7">
        <v>-0.98</v>
      </c>
      <c r="J41" s="6">
        <v>-60</v>
      </c>
      <c r="K41" s="7">
        <v>-1.03</v>
      </c>
    </row>
    <row r="42" spans="1:11" x14ac:dyDescent="0.2">
      <c r="A42" s="5" t="s">
        <v>62</v>
      </c>
      <c r="B42" s="6">
        <v>289</v>
      </c>
      <c r="C42" s="6">
        <v>198</v>
      </c>
      <c r="D42" s="6">
        <v>181</v>
      </c>
      <c r="E42" s="6">
        <v>172</v>
      </c>
      <c r="F42" s="6">
        <v>-9</v>
      </c>
      <c r="G42" s="7">
        <v>-3.71</v>
      </c>
      <c r="H42" s="6">
        <v>-3</v>
      </c>
      <c r="I42" s="7">
        <v>-1.78</v>
      </c>
      <c r="J42" s="6">
        <v>-2</v>
      </c>
      <c r="K42" s="7">
        <v>-1.01</v>
      </c>
    </row>
    <row r="43" spans="1:11" x14ac:dyDescent="0.2">
      <c r="A43" s="5" t="s">
        <v>140</v>
      </c>
      <c r="B43" s="6">
        <v>24316</v>
      </c>
      <c r="C43" s="6">
        <v>22116</v>
      </c>
      <c r="D43" s="6">
        <v>21016</v>
      </c>
      <c r="E43" s="6">
        <v>19916</v>
      </c>
      <c r="F43" s="6">
        <v>-220</v>
      </c>
      <c r="G43" s="7">
        <v>-0.94</v>
      </c>
      <c r="H43" s="6">
        <v>-220</v>
      </c>
      <c r="I43" s="7">
        <v>-1.02</v>
      </c>
      <c r="J43" s="6">
        <v>-220</v>
      </c>
      <c r="K43" s="7">
        <v>-1.07</v>
      </c>
    </row>
    <row r="44" spans="1:11" x14ac:dyDescent="0.2">
      <c r="A44" s="5" t="s">
        <v>141</v>
      </c>
      <c r="B44" s="6">
        <v>58</v>
      </c>
      <c r="C44" s="6">
        <v>82</v>
      </c>
      <c r="D44" s="6">
        <v>84</v>
      </c>
      <c r="E44" s="6">
        <v>85</v>
      </c>
      <c r="F44" s="6">
        <v>2</v>
      </c>
      <c r="G44" s="7">
        <v>3.58</v>
      </c>
      <c r="H44" s="9" t="s">
        <v>47</v>
      </c>
      <c r="I44" s="7">
        <v>0.36</v>
      </c>
      <c r="J44" s="9" t="s">
        <v>47</v>
      </c>
      <c r="K44" s="7">
        <v>0.36</v>
      </c>
    </row>
    <row r="45" spans="1:11" x14ac:dyDescent="0.2">
      <c r="A45" s="5" t="s">
        <v>63</v>
      </c>
      <c r="B45" s="6">
        <v>22726</v>
      </c>
      <c r="C45" s="6">
        <v>22556</v>
      </c>
      <c r="D45" s="6">
        <v>22471</v>
      </c>
      <c r="E45" s="6">
        <v>22411</v>
      </c>
      <c r="F45" s="6">
        <v>-17</v>
      </c>
      <c r="G45" s="7">
        <v>-0.08</v>
      </c>
      <c r="H45" s="6">
        <v>-17</v>
      </c>
      <c r="I45" s="7">
        <v>-0.08</v>
      </c>
      <c r="J45" s="6">
        <v>-12</v>
      </c>
      <c r="K45" s="7">
        <v>-0.05</v>
      </c>
    </row>
    <row r="46" spans="1:11" x14ac:dyDescent="0.2">
      <c r="A46" s="5" t="s">
        <v>142</v>
      </c>
      <c r="B46" s="6">
        <v>10222</v>
      </c>
      <c r="C46" s="6">
        <v>10328</v>
      </c>
      <c r="D46" s="6">
        <v>10405</v>
      </c>
      <c r="E46" s="6">
        <v>10403</v>
      </c>
      <c r="F46" s="6">
        <v>11</v>
      </c>
      <c r="G46" s="8">
        <v>0.1</v>
      </c>
      <c r="H46" s="6">
        <v>15</v>
      </c>
      <c r="I46" s="7">
        <v>0.15</v>
      </c>
      <c r="J46" s="9" t="s">
        <v>47</v>
      </c>
      <c r="K46" s="9" t="s">
        <v>47</v>
      </c>
    </row>
    <row r="47" spans="1:11" x14ac:dyDescent="0.2">
      <c r="A47" s="5" t="s">
        <v>64</v>
      </c>
      <c r="B47" s="6">
        <v>22000</v>
      </c>
      <c r="C47" s="6">
        <v>22000</v>
      </c>
      <c r="D47" s="6">
        <v>22000</v>
      </c>
      <c r="E47" s="6">
        <v>22000</v>
      </c>
      <c r="F47" s="6">
        <v>0</v>
      </c>
      <c r="G47" s="6">
        <v>0</v>
      </c>
      <c r="H47" s="6">
        <v>0</v>
      </c>
      <c r="I47" s="6">
        <v>0</v>
      </c>
      <c r="J47" s="6">
        <v>0</v>
      </c>
      <c r="K47" s="6">
        <v>0</v>
      </c>
    </row>
    <row r="48" spans="1:11" x14ac:dyDescent="0.2">
      <c r="A48" s="5" t="s">
        <v>143</v>
      </c>
      <c r="B48" s="6">
        <v>442</v>
      </c>
      <c r="C48" s="6">
        <v>461</v>
      </c>
      <c r="D48" s="6">
        <v>471</v>
      </c>
      <c r="E48" s="6">
        <v>480</v>
      </c>
      <c r="F48" s="6">
        <v>2</v>
      </c>
      <c r="G48" s="7">
        <v>0.42</v>
      </c>
      <c r="H48" s="6">
        <v>2</v>
      </c>
      <c r="I48" s="7">
        <v>0.43</v>
      </c>
      <c r="J48" s="6">
        <v>2</v>
      </c>
      <c r="K48" s="7">
        <v>0.38</v>
      </c>
    </row>
    <row r="49" spans="1:11" x14ac:dyDescent="0.2">
      <c r="A49" s="5" t="s">
        <v>65</v>
      </c>
      <c r="B49" s="6">
        <v>7448</v>
      </c>
      <c r="C49" s="6">
        <v>6094</v>
      </c>
      <c r="D49" s="6">
        <v>5517</v>
      </c>
      <c r="E49" s="6">
        <v>4940</v>
      </c>
      <c r="F49" s="6">
        <v>-135</v>
      </c>
      <c r="G49" s="7">
        <v>-1.99</v>
      </c>
      <c r="H49" s="6">
        <v>-115</v>
      </c>
      <c r="I49" s="7">
        <v>-1.97</v>
      </c>
      <c r="J49" s="6">
        <v>-115</v>
      </c>
      <c r="K49" s="7">
        <v>-2.19</v>
      </c>
    </row>
    <row r="50" spans="1:11" x14ac:dyDescent="0.2">
      <c r="A50" s="5" t="s">
        <v>144</v>
      </c>
      <c r="B50" s="6">
        <v>7264</v>
      </c>
      <c r="C50" s="6">
        <v>6904</v>
      </c>
      <c r="D50" s="6">
        <v>6724</v>
      </c>
      <c r="E50" s="6">
        <v>6544</v>
      </c>
      <c r="F50" s="6">
        <v>-36</v>
      </c>
      <c r="G50" s="7">
        <v>-0.51</v>
      </c>
      <c r="H50" s="6">
        <v>-36</v>
      </c>
      <c r="I50" s="7">
        <v>-0.53</v>
      </c>
      <c r="J50" s="6">
        <v>-36</v>
      </c>
      <c r="K50" s="7">
        <v>-0.54</v>
      </c>
    </row>
    <row r="51" spans="1:11" x14ac:dyDescent="0.2">
      <c r="A51" s="5" t="s">
        <v>145</v>
      </c>
      <c r="B51" s="6">
        <v>1860</v>
      </c>
      <c r="C51" s="6">
        <v>1743</v>
      </c>
      <c r="D51" s="6">
        <v>1685</v>
      </c>
      <c r="E51" s="6">
        <v>1626</v>
      </c>
      <c r="F51" s="6">
        <v>-12</v>
      </c>
      <c r="G51" s="7">
        <v>-0.65</v>
      </c>
      <c r="H51" s="6">
        <v>-12</v>
      </c>
      <c r="I51" s="7">
        <v>-0.67</v>
      </c>
      <c r="J51" s="6">
        <v>-12</v>
      </c>
      <c r="K51" s="7">
        <v>-0.71</v>
      </c>
    </row>
    <row r="52" spans="1:11" x14ac:dyDescent="0.2">
      <c r="A52" s="5" t="s">
        <v>146</v>
      </c>
      <c r="B52" s="6">
        <v>2216</v>
      </c>
      <c r="C52" s="6">
        <v>2120</v>
      </c>
      <c r="D52" s="6">
        <v>2072</v>
      </c>
      <c r="E52" s="6">
        <v>2022</v>
      </c>
      <c r="F52" s="6">
        <v>-10</v>
      </c>
      <c r="G52" s="7">
        <v>-0.44</v>
      </c>
      <c r="H52" s="6">
        <v>-10</v>
      </c>
      <c r="I52" s="7">
        <v>-0.46</v>
      </c>
      <c r="J52" s="6">
        <v>-10</v>
      </c>
      <c r="K52" s="7">
        <v>-0.49</v>
      </c>
    </row>
    <row r="53" spans="1:11" x14ac:dyDescent="0.2">
      <c r="A53" s="5" t="s">
        <v>147</v>
      </c>
      <c r="B53" s="6">
        <v>4929</v>
      </c>
      <c r="C53" s="6">
        <v>4629</v>
      </c>
      <c r="D53" s="6">
        <v>4479</v>
      </c>
      <c r="E53" s="6">
        <v>4329</v>
      </c>
      <c r="F53" s="6">
        <v>-30</v>
      </c>
      <c r="G53" s="7">
        <v>-0.63</v>
      </c>
      <c r="H53" s="6">
        <v>-30</v>
      </c>
      <c r="I53" s="7">
        <v>-0.66</v>
      </c>
      <c r="J53" s="6">
        <v>-30</v>
      </c>
      <c r="K53" s="7">
        <v>-0.68</v>
      </c>
    </row>
    <row r="54" spans="1:11" x14ac:dyDescent="0.2">
      <c r="A54" s="5" t="s">
        <v>60</v>
      </c>
      <c r="B54" s="6">
        <v>14072</v>
      </c>
      <c r="C54" s="6">
        <v>13281</v>
      </c>
      <c r="D54" s="6">
        <v>12885</v>
      </c>
      <c r="E54" s="6">
        <v>12490</v>
      </c>
      <c r="F54" s="6">
        <v>-79</v>
      </c>
      <c r="G54" s="7">
        <v>-0.57999999999999996</v>
      </c>
      <c r="H54" s="6">
        <v>-79</v>
      </c>
      <c r="I54" s="8">
        <v>-0.6</v>
      </c>
      <c r="J54" s="6">
        <v>-79</v>
      </c>
      <c r="K54" s="7">
        <v>-0.62</v>
      </c>
    </row>
    <row r="55" spans="1:11" x14ac:dyDescent="0.2">
      <c r="A55" s="5" t="s">
        <v>61</v>
      </c>
      <c r="B55" s="6">
        <v>1945</v>
      </c>
      <c r="C55" s="6">
        <v>1328</v>
      </c>
      <c r="D55" s="6">
        <v>1266</v>
      </c>
      <c r="E55" s="6">
        <v>1204</v>
      </c>
      <c r="F55" s="6">
        <v>-62</v>
      </c>
      <c r="G55" s="7">
        <v>-3.74</v>
      </c>
      <c r="H55" s="6">
        <v>-12</v>
      </c>
      <c r="I55" s="7">
        <v>-0.95</v>
      </c>
      <c r="J55" s="6">
        <v>-12</v>
      </c>
      <c r="K55" s="8">
        <v>-1</v>
      </c>
    </row>
    <row r="56" spans="1:11" x14ac:dyDescent="0.2">
      <c r="A56" s="5" t="s">
        <v>148</v>
      </c>
      <c r="B56" s="6">
        <v>17234</v>
      </c>
      <c r="C56" s="6">
        <v>13137</v>
      </c>
      <c r="D56" s="6">
        <v>11089</v>
      </c>
      <c r="E56" s="6">
        <v>9041</v>
      </c>
      <c r="F56" s="6">
        <v>-410</v>
      </c>
      <c r="G56" s="7">
        <v>-2.68</v>
      </c>
      <c r="H56" s="6">
        <v>-410</v>
      </c>
      <c r="I56" s="7">
        <v>-3.33</v>
      </c>
      <c r="J56" s="6">
        <v>-410</v>
      </c>
      <c r="K56" s="8">
        <v>-4</v>
      </c>
    </row>
    <row r="57" spans="1:11" x14ac:dyDescent="0.2">
      <c r="A57" s="14" t="s">
        <v>149</v>
      </c>
      <c r="B57" s="6">
        <v>23203</v>
      </c>
      <c r="C57" s="6">
        <v>22903</v>
      </c>
      <c r="D57" s="6">
        <v>22755</v>
      </c>
      <c r="E57" s="6">
        <v>22605</v>
      </c>
      <c r="F57" s="6">
        <v>-30</v>
      </c>
      <c r="G57" s="7">
        <v>-0.13</v>
      </c>
      <c r="H57" s="6">
        <v>-30</v>
      </c>
      <c r="I57" s="7">
        <v>-0.13</v>
      </c>
      <c r="J57" s="6">
        <v>-30</v>
      </c>
      <c r="K57" s="7">
        <v>-0.13</v>
      </c>
    </row>
    <row r="58" spans="1:11" x14ac:dyDescent="0.2">
      <c r="A58" s="5" t="s">
        <v>150</v>
      </c>
      <c r="B58" s="6">
        <v>160363</v>
      </c>
      <c r="C58" s="6">
        <v>157249</v>
      </c>
      <c r="D58" s="6">
        <v>155692</v>
      </c>
      <c r="E58" s="6">
        <v>154135</v>
      </c>
      <c r="F58" s="6">
        <v>-311</v>
      </c>
      <c r="G58" s="8">
        <v>-0.2</v>
      </c>
      <c r="H58" s="6">
        <v>-311</v>
      </c>
      <c r="I58" s="8">
        <v>-0.2</v>
      </c>
      <c r="J58" s="6">
        <v>-311</v>
      </c>
      <c r="K58" s="8">
        <v>-0.2</v>
      </c>
    </row>
    <row r="59" spans="1:11" x14ac:dyDescent="0.2">
      <c r="A59" s="5" t="s">
        <v>66</v>
      </c>
      <c r="B59" s="6">
        <v>318</v>
      </c>
      <c r="C59" s="6">
        <v>344</v>
      </c>
      <c r="D59" s="6">
        <v>385</v>
      </c>
      <c r="E59" s="6">
        <v>435</v>
      </c>
      <c r="F59" s="6">
        <v>3</v>
      </c>
      <c r="G59" s="7">
        <v>0.79</v>
      </c>
      <c r="H59" s="6">
        <v>8</v>
      </c>
      <c r="I59" s="7">
        <v>2.2799999999999998</v>
      </c>
      <c r="J59" s="6">
        <v>10</v>
      </c>
      <c r="K59" s="7">
        <v>2.4700000000000002</v>
      </c>
    </row>
    <row r="60" spans="1:11" x14ac:dyDescent="0.2">
      <c r="A60" s="5" t="s">
        <v>151</v>
      </c>
      <c r="B60" s="6">
        <v>2</v>
      </c>
      <c r="C60" s="6">
        <v>2</v>
      </c>
      <c r="D60" s="6">
        <v>2</v>
      </c>
      <c r="E60" s="6">
        <v>2</v>
      </c>
      <c r="F60" s="6">
        <v>0</v>
      </c>
      <c r="G60" s="6">
        <v>0</v>
      </c>
      <c r="H60" s="6">
        <v>0</v>
      </c>
      <c r="I60" s="6">
        <v>0</v>
      </c>
      <c r="J60" s="6">
        <v>0</v>
      </c>
      <c r="K60" s="6">
        <v>0</v>
      </c>
    </row>
    <row r="61" spans="1:11" x14ac:dyDescent="0.2">
      <c r="A61" s="5" t="s">
        <v>152</v>
      </c>
      <c r="B61" s="6">
        <v>27</v>
      </c>
      <c r="C61" s="6">
        <v>27</v>
      </c>
      <c r="D61" s="6">
        <v>27</v>
      </c>
      <c r="E61" s="6">
        <v>27</v>
      </c>
      <c r="F61" s="6">
        <v>0</v>
      </c>
      <c r="G61" s="6">
        <v>0</v>
      </c>
      <c r="H61" s="6">
        <v>0</v>
      </c>
      <c r="I61" s="6">
        <v>0</v>
      </c>
      <c r="J61" s="6">
        <v>0</v>
      </c>
      <c r="K61" s="6">
        <v>0</v>
      </c>
    </row>
    <row r="62" spans="1:11" x14ac:dyDescent="0.2">
      <c r="A62" s="5" t="s">
        <v>153</v>
      </c>
      <c r="B62" s="6">
        <v>9348</v>
      </c>
      <c r="C62" s="6">
        <v>8898</v>
      </c>
      <c r="D62" s="6">
        <v>8673</v>
      </c>
      <c r="E62" s="6">
        <v>8473</v>
      </c>
      <c r="F62" s="6">
        <v>-45</v>
      </c>
      <c r="G62" s="7">
        <v>-0.49</v>
      </c>
      <c r="H62" s="6">
        <v>-45</v>
      </c>
      <c r="I62" s="7">
        <v>-0.51</v>
      </c>
      <c r="J62" s="6">
        <v>-40</v>
      </c>
      <c r="K62" s="7">
        <v>-0.47</v>
      </c>
    </row>
    <row r="63" spans="1:11" x14ac:dyDescent="0.2">
      <c r="A63" s="5" t="s">
        <v>67</v>
      </c>
      <c r="B63" s="6">
        <v>3118</v>
      </c>
      <c r="C63" s="6">
        <v>2922</v>
      </c>
      <c r="D63" s="6">
        <v>2824</v>
      </c>
      <c r="E63" s="6">
        <v>2726</v>
      </c>
      <c r="F63" s="6">
        <v>-20</v>
      </c>
      <c r="G63" s="7">
        <v>-0.65</v>
      </c>
      <c r="H63" s="6">
        <v>-20</v>
      </c>
      <c r="I63" s="7">
        <v>-0.68</v>
      </c>
      <c r="J63" s="6">
        <v>-20</v>
      </c>
      <c r="K63" s="8">
        <v>-0.7</v>
      </c>
    </row>
    <row r="64" spans="1:11" x14ac:dyDescent="0.2">
      <c r="A64" s="5" t="s">
        <v>154</v>
      </c>
      <c r="B64" s="6">
        <v>13110</v>
      </c>
      <c r="C64" s="6">
        <v>12317</v>
      </c>
      <c r="D64" s="6">
        <v>11921</v>
      </c>
      <c r="E64" s="6">
        <v>11525</v>
      </c>
      <c r="F64" s="6">
        <v>-79</v>
      </c>
      <c r="G64" s="7">
        <v>-0.62</v>
      </c>
      <c r="H64" s="6">
        <v>-79</v>
      </c>
      <c r="I64" s="7">
        <v>-0.65</v>
      </c>
      <c r="J64" s="6">
        <v>-79</v>
      </c>
      <c r="K64" s="7">
        <v>-0.67</v>
      </c>
    </row>
    <row r="65" spans="1:11" x14ac:dyDescent="0.2">
      <c r="A65" s="5" t="s">
        <v>68</v>
      </c>
      <c r="B65" s="6">
        <v>685</v>
      </c>
      <c r="C65" s="6">
        <v>486</v>
      </c>
      <c r="D65" s="6">
        <v>386</v>
      </c>
      <c r="E65" s="6">
        <v>287</v>
      </c>
      <c r="F65" s="6">
        <v>-20</v>
      </c>
      <c r="G65" s="7">
        <v>-3.37</v>
      </c>
      <c r="H65" s="6">
        <v>-20</v>
      </c>
      <c r="I65" s="8">
        <v>-4.5</v>
      </c>
      <c r="J65" s="6">
        <v>-20</v>
      </c>
      <c r="K65" s="7">
        <v>-5.75</v>
      </c>
    </row>
    <row r="66" spans="1:11" x14ac:dyDescent="0.2">
      <c r="A66" s="10" t="s">
        <v>155</v>
      </c>
      <c r="B66" s="11">
        <v>359803</v>
      </c>
      <c r="C66" s="11">
        <v>343434</v>
      </c>
      <c r="D66" s="11">
        <v>335770</v>
      </c>
      <c r="E66" s="11">
        <v>328088</v>
      </c>
      <c r="F66" s="11">
        <v>-1637</v>
      </c>
      <c r="G66" s="12">
        <v>-0.46</v>
      </c>
      <c r="H66" s="11">
        <v>-1533</v>
      </c>
      <c r="I66" s="12">
        <v>-0.45</v>
      </c>
      <c r="J66" s="11">
        <v>-1536</v>
      </c>
      <c r="K66" s="12">
        <v>-0.46</v>
      </c>
    </row>
    <row r="67" spans="1:11" x14ac:dyDescent="0.2">
      <c r="A67" s="10" t="s">
        <v>156</v>
      </c>
      <c r="B67" s="11">
        <v>749238</v>
      </c>
      <c r="C67" s="11">
        <v>708564</v>
      </c>
      <c r="D67" s="11">
        <v>691468</v>
      </c>
      <c r="E67" s="11">
        <v>674419</v>
      </c>
      <c r="F67" s="11">
        <v>-4067</v>
      </c>
      <c r="G67" s="12">
        <v>-0.56000000000000005</v>
      </c>
      <c r="H67" s="11">
        <v>-3419</v>
      </c>
      <c r="I67" s="12">
        <v>-0.49</v>
      </c>
      <c r="J67" s="11">
        <v>-3410</v>
      </c>
      <c r="K67" s="15">
        <v>-0.5</v>
      </c>
    </row>
    <row r="68" spans="1:11" x14ac:dyDescent="0.2">
      <c r="A68" s="5" t="s">
        <v>157</v>
      </c>
      <c r="B68" s="6">
        <v>157141</v>
      </c>
      <c r="C68" s="6">
        <v>177000</v>
      </c>
      <c r="D68" s="6">
        <v>193044</v>
      </c>
      <c r="E68" s="6">
        <v>206861</v>
      </c>
      <c r="F68" s="6">
        <v>1986</v>
      </c>
      <c r="G68" s="8">
        <v>1.2</v>
      </c>
      <c r="H68" s="6">
        <v>3209</v>
      </c>
      <c r="I68" s="7">
        <v>1.75</v>
      </c>
      <c r="J68" s="6">
        <v>2763</v>
      </c>
      <c r="K68" s="7">
        <v>1.39</v>
      </c>
    </row>
    <row r="69" spans="1:11" x14ac:dyDescent="0.2">
      <c r="A69" s="5" t="s">
        <v>158</v>
      </c>
      <c r="B69" s="6">
        <v>24950</v>
      </c>
      <c r="C69" s="6">
        <v>24876</v>
      </c>
      <c r="D69" s="6">
        <v>24935</v>
      </c>
      <c r="E69" s="6">
        <v>24979</v>
      </c>
      <c r="F69" s="6">
        <v>-7</v>
      </c>
      <c r="G69" s="7">
        <v>-0.03</v>
      </c>
      <c r="H69" s="6">
        <v>12</v>
      </c>
      <c r="I69" s="7">
        <v>0.05</v>
      </c>
      <c r="J69" s="6">
        <v>9</v>
      </c>
      <c r="K69" s="7">
        <v>0.04</v>
      </c>
    </row>
    <row r="70" spans="1:11" x14ac:dyDescent="0.2">
      <c r="A70" s="5" t="s">
        <v>159</v>
      </c>
      <c r="B70" s="6">
        <v>12536</v>
      </c>
      <c r="C70" s="6">
        <v>11717</v>
      </c>
      <c r="D70" s="6">
        <v>11308</v>
      </c>
      <c r="E70" s="6">
        <v>10898</v>
      </c>
      <c r="F70" s="6">
        <v>-82</v>
      </c>
      <c r="G70" s="7">
        <v>-0.67</v>
      </c>
      <c r="H70" s="6">
        <v>-82</v>
      </c>
      <c r="I70" s="7">
        <v>-0.71</v>
      </c>
      <c r="J70" s="6">
        <v>-82</v>
      </c>
      <c r="K70" s="7">
        <v>-0.74</v>
      </c>
    </row>
    <row r="71" spans="1:11" x14ac:dyDescent="0.2">
      <c r="A71" s="5" t="s">
        <v>160</v>
      </c>
      <c r="B71" s="6">
        <v>6370</v>
      </c>
      <c r="C71" s="6">
        <v>6288</v>
      </c>
      <c r="D71" s="6">
        <v>6255</v>
      </c>
      <c r="E71" s="6">
        <v>6222</v>
      </c>
      <c r="F71" s="6">
        <v>-8</v>
      </c>
      <c r="G71" s="7">
        <v>-0.13</v>
      </c>
      <c r="H71" s="6">
        <v>-7</v>
      </c>
      <c r="I71" s="7">
        <v>-0.11</v>
      </c>
      <c r="J71" s="6">
        <v>-7</v>
      </c>
      <c r="K71" s="7">
        <v>-0.11</v>
      </c>
    </row>
    <row r="72" spans="1:11" x14ac:dyDescent="0.2">
      <c r="A72" s="5" t="s">
        <v>161</v>
      </c>
      <c r="B72" s="6">
        <v>8201</v>
      </c>
      <c r="C72" s="6">
        <v>6933</v>
      </c>
      <c r="D72" s="6">
        <v>6299</v>
      </c>
      <c r="E72" s="6">
        <v>5666</v>
      </c>
      <c r="F72" s="6">
        <v>-127</v>
      </c>
      <c r="G72" s="7">
        <v>-1.67</v>
      </c>
      <c r="H72" s="6">
        <v>-127</v>
      </c>
      <c r="I72" s="8">
        <v>-1.9</v>
      </c>
      <c r="J72" s="6">
        <v>-127</v>
      </c>
      <c r="K72" s="8">
        <v>-2.1</v>
      </c>
    </row>
    <row r="73" spans="1:11" x14ac:dyDescent="0.2">
      <c r="A73" s="10" t="s">
        <v>162</v>
      </c>
      <c r="B73" s="11">
        <v>209198</v>
      </c>
      <c r="C73" s="11">
        <v>226815</v>
      </c>
      <c r="D73" s="11">
        <v>241841</v>
      </c>
      <c r="E73" s="11">
        <v>254626</v>
      </c>
      <c r="F73" s="11">
        <v>1762</v>
      </c>
      <c r="G73" s="12">
        <v>0.81</v>
      </c>
      <c r="H73" s="11">
        <v>3005</v>
      </c>
      <c r="I73" s="12">
        <v>1.29</v>
      </c>
      <c r="J73" s="11">
        <v>2557</v>
      </c>
      <c r="K73" s="12">
        <v>1.04</v>
      </c>
    </row>
    <row r="74" spans="1:11" x14ac:dyDescent="0.2">
      <c r="A74" s="5" t="s">
        <v>69</v>
      </c>
      <c r="B74" s="6">
        <v>1494</v>
      </c>
      <c r="C74" s="6">
        <v>1468</v>
      </c>
      <c r="D74" s="6">
        <v>1455</v>
      </c>
      <c r="E74" s="6">
        <v>1442</v>
      </c>
      <c r="F74" s="6">
        <v>-3</v>
      </c>
      <c r="G74" s="7">
        <v>-0.18</v>
      </c>
      <c r="H74" s="6">
        <v>-3</v>
      </c>
      <c r="I74" s="7">
        <v>-0.18</v>
      </c>
      <c r="J74" s="6">
        <v>-3</v>
      </c>
      <c r="K74" s="7">
        <v>-0.18</v>
      </c>
    </row>
    <row r="75" spans="1:11" x14ac:dyDescent="0.2">
      <c r="A75" s="5" t="s">
        <v>163</v>
      </c>
      <c r="B75" s="6">
        <v>3035</v>
      </c>
      <c r="C75" s="6">
        <v>3141</v>
      </c>
      <c r="D75" s="6">
        <v>3195</v>
      </c>
      <c r="E75" s="6">
        <v>3249</v>
      </c>
      <c r="F75" s="6">
        <v>11</v>
      </c>
      <c r="G75" s="7">
        <v>0.34</v>
      </c>
      <c r="H75" s="6">
        <v>11</v>
      </c>
      <c r="I75" s="7">
        <v>0.34</v>
      </c>
      <c r="J75" s="6">
        <v>11</v>
      </c>
      <c r="K75" s="7">
        <v>0.34</v>
      </c>
    </row>
    <row r="76" spans="1:11" x14ac:dyDescent="0.2">
      <c r="A76" s="5" t="s">
        <v>164</v>
      </c>
      <c r="B76" s="6">
        <v>413</v>
      </c>
      <c r="C76" s="6">
        <v>397</v>
      </c>
      <c r="D76" s="6">
        <v>389</v>
      </c>
      <c r="E76" s="6">
        <v>380</v>
      </c>
      <c r="F76" s="6">
        <v>-2</v>
      </c>
      <c r="G76" s="7">
        <v>-0.39</v>
      </c>
      <c r="H76" s="6">
        <v>-2</v>
      </c>
      <c r="I76" s="7">
        <v>-0.41</v>
      </c>
      <c r="J76" s="6">
        <v>-2</v>
      </c>
      <c r="K76" s="7">
        <v>-0.47</v>
      </c>
    </row>
    <row r="77" spans="1:11" x14ac:dyDescent="0.2">
      <c r="A77" s="5" t="s">
        <v>165</v>
      </c>
      <c r="B77" s="6">
        <v>12944</v>
      </c>
      <c r="C77" s="6">
        <v>11546</v>
      </c>
      <c r="D77" s="6">
        <v>10731</v>
      </c>
      <c r="E77" s="6">
        <v>10094</v>
      </c>
      <c r="F77" s="6">
        <v>-140</v>
      </c>
      <c r="G77" s="7">
        <v>-1.1399999999999999</v>
      </c>
      <c r="H77" s="6">
        <v>-163</v>
      </c>
      <c r="I77" s="7">
        <v>-1.45</v>
      </c>
      <c r="J77" s="6">
        <v>-127</v>
      </c>
      <c r="K77" s="7">
        <v>-1.22</v>
      </c>
    </row>
    <row r="78" spans="1:11" x14ac:dyDescent="0.2">
      <c r="A78" s="5" t="s">
        <v>166</v>
      </c>
      <c r="B78" s="6">
        <v>63939</v>
      </c>
      <c r="C78" s="6">
        <v>65390</v>
      </c>
      <c r="D78" s="6">
        <v>67709</v>
      </c>
      <c r="E78" s="6">
        <v>68434</v>
      </c>
      <c r="F78" s="6">
        <v>145</v>
      </c>
      <c r="G78" s="7">
        <v>0.22</v>
      </c>
      <c r="H78" s="6">
        <v>464</v>
      </c>
      <c r="I78" s="8">
        <v>0.7</v>
      </c>
      <c r="J78" s="6">
        <v>145</v>
      </c>
      <c r="K78" s="7">
        <v>0.21</v>
      </c>
    </row>
    <row r="79" spans="1:11" x14ac:dyDescent="0.2">
      <c r="A79" s="5" t="s">
        <v>167</v>
      </c>
      <c r="B79" s="6">
        <v>118545</v>
      </c>
      <c r="C79" s="6">
        <v>99409</v>
      </c>
      <c r="D79" s="6">
        <v>97857</v>
      </c>
      <c r="E79" s="6">
        <v>94432</v>
      </c>
      <c r="F79" s="6">
        <v>-1914</v>
      </c>
      <c r="G79" s="7">
        <v>-1.75</v>
      </c>
      <c r="H79" s="6">
        <v>-310</v>
      </c>
      <c r="I79" s="7">
        <v>-0.31</v>
      </c>
      <c r="J79" s="6">
        <v>-685</v>
      </c>
      <c r="K79" s="7">
        <v>-0.71</v>
      </c>
    </row>
    <row r="80" spans="1:11" x14ac:dyDescent="0.2">
      <c r="A80" s="5" t="s">
        <v>168</v>
      </c>
      <c r="B80" s="6">
        <v>22376</v>
      </c>
      <c r="C80" s="6">
        <v>21591</v>
      </c>
      <c r="D80" s="6">
        <v>20890</v>
      </c>
      <c r="E80" s="6">
        <v>20456</v>
      </c>
      <c r="F80" s="6">
        <v>-79</v>
      </c>
      <c r="G80" s="7">
        <v>-0.36</v>
      </c>
      <c r="H80" s="6">
        <v>-140</v>
      </c>
      <c r="I80" s="7">
        <v>-0.66</v>
      </c>
      <c r="J80" s="6">
        <v>-87</v>
      </c>
      <c r="K80" s="7">
        <v>-0.42</v>
      </c>
    </row>
    <row r="81" spans="1:11" x14ac:dyDescent="0.2">
      <c r="A81" s="5" t="s">
        <v>70</v>
      </c>
      <c r="B81" s="6">
        <v>1</v>
      </c>
      <c r="C81" s="6">
        <v>1</v>
      </c>
      <c r="D81" s="6">
        <v>1</v>
      </c>
      <c r="E81" s="6">
        <v>1</v>
      </c>
      <c r="F81" s="6">
        <v>0</v>
      </c>
      <c r="G81" s="6">
        <v>0</v>
      </c>
      <c r="H81" s="6">
        <v>0</v>
      </c>
      <c r="I81" s="6">
        <v>0</v>
      </c>
      <c r="J81" s="6">
        <v>0</v>
      </c>
      <c r="K81" s="6">
        <v>0</v>
      </c>
    </row>
    <row r="82" spans="1:11" x14ac:dyDescent="0.2">
      <c r="A82" s="5" t="s">
        <v>71</v>
      </c>
      <c r="B82" s="6">
        <v>39218</v>
      </c>
      <c r="C82" s="6">
        <v>34868</v>
      </c>
      <c r="D82" s="6">
        <v>33321</v>
      </c>
      <c r="E82" s="6">
        <v>31773</v>
      </c>
      <c r="F82" s="6">
        <v>-435</v>
      </c>
      <c r="G82" s="7">
        <v>-1.17</v>
      </c>
      <c r="H82" s="6">
        <v>-309</v>
      </c>
      <c r="I82" s="8">
        <v>-0.9</v>
      </c>
      <c r="J82" s="6">
        <v>-310</v>
      </c>
      <c r="K82" s="7">
        <v>-0.95</v>
      </c>
    </row>
    <row r="83" spans="1:11" x14ac:dyDescent="0.2">
      <c r="A83" s="5" t="s">
        <v>169</v>
      </c>
      <c r="B83" s="6">
        <v>4817</v>
      </c>
      <c r="C83" s="6">
        <v>3900</v>
      </c>
      <c r="D83" s="6">
        <v>3636</v>
      </c>
      <c r="E83" s="6">
        <v>3636</v>
      </c>
      <c r="F83" s="6">
        <v>-92</v>
      </c>
      <c r="G83" s="7">
        <v>-2.09</v>
      </c>
      <c r="H83" s="6">
        <v>-53</v>
      </c>
      <c r="I83" s="7">
        <v>-1.39</v>
      </c>
      <c r="J83" s="6">
        <v>0</v>
      </c>
      <c r="K83" s="6">
        <v>0</v>
      </c>
    </row>
    <row r="84" spans="1:11" x14ac:dyDescent="0.2">
      <c r="A84" s="5" t="s">
        <v>72</v>
      </c>
      <c r="B84" s="6">
        <v>2527</v>
      </c>
      <c r="C84" s="6">
        <v>2116</v>
      </c>
      <c r="D84" s="6">
        <v>1902</v>
      </c>
      <c r="E84" s="6">
        <v>1687</v>
      </c>
      <c r="F84" s="6">
        <v>-41</v>
      </c>
      <c r="G84" s="7">
        <v>-1.76</v>
      </c>
      <c r="H84" s="6">
        <v>-43</v>
      </c>
      <c r="I84" s="7">
        <v>-2.11</v>
      </c>
      <c r="J84" s="6">
        <v>-43</v>
      </c>
      <c r="K84" s="7">
        <v>-2.37</v>
      </c>
    </row>
    <row r="85" spans="1:11" x14ac:dyDescent="0.2">
      <c r="A85" s="5" t="s">
        <v>73</v>
      </c>
      <c r="B85" s="6">
        <v>6570</v>
      </c>
      <c r="C85" s="6">
        <v>7117</v>
      </c>
      <c r="D85" s="6">
        <v>7391</v>
      </c>
      <c r="E85" s="6">
        <v>7665</v>
      </c>
      <c r="F85" s="6">
        <v>55</v>
      </c>
      <c r="G85" s="8">
        <v>0.8</v>
      </c>
      <c r="H85" s="6">
        <v>55</v>
      </c>
      <c r="I85" s="7">
        <v>0.76</v>
      </c>
      <c r="J85" s="6">
        <v>55</v>
      </c>
      <c r="K85" s="7">
        <v>0.73</v>
      </c>
    </row>
    <row r="86" spans="1:11" x14ac:dyDescent="0.2">
      <c r="A86" s="5" t="s">
        <v>170</v>
      </c>
      <c r="B86" s="6">
        <v>17314</v>
      </c>
      <c r="C86" s="6">
        <v>16532</v>
      </c>
      <c r="D86" s="6">
        <v>16142</v>
      </c>
      <c r="E86" s="6">
        <v>15751</v>
      </c>
      <c r="F86" s="6">
        <v>-78</v>
      </c>
      <c r="G86" s="7">
        <v>-0.46</v>
      </c>
      <c r="H86" s="6">
        <v>-78</v>
      </c>
      <c r="I86" s="7">
        <v>-0.48</v>
      </c>
      <c r="J86" s="6">
        <v>-78</v>
      </c>
      <c r="K86" s="7">
        <v>-0.49</v>
      </c>
    </row>
    <row r="87" spans="1:11" x14ac:dyDescent="0.2">
      <c r="A87" s="5" t="s">
        <v>171</v>
      </c>
      <c r="B87" s="6">
        <v>2</v>
      </c>
      <c r="C87" s="6">
        <v>2</v>
      </c>
      <c r="D87" s="6">
        <v>2</v>
      </c>
      <c r="E87" s="6">
        <v>2</v>
      </c>
      <c r="F87" s="6">
        <v>0</v>
      </c>
      <c r="G87" s="6">
        <v>0</v>
      </c>
      <c r="H87" s="6">
        <v>0</v>
      </c>
      <c r="I87" s="6">
        <v>0</v>
      </c>
      <c r="J87" s="6">
        <v>0</v>
      </c>
      <c r="K87" s="6">
        <v>0</v>
      </c>
    </row>
    <row r="88" spans="1:11" x14ac:dyDescent="0.2">
      <c r="A88" s="5" t="s">
        <v>74</v>
      </c>
      <c r="B88" s="6">
        <v>2350</v>
      </c>
      <c r="C88" s="6">
        <v>2082</v>
      </c>
      <c r="D88" s="6">
        <v>1933</v>
      </c>
      <c r="E88" s="6">
        <v>1860</v>
      </c>
      <c r="F88" s="6">
        <v>-27</v>
      </c>
      <c r="G88" s="8">
        <v>-1.2</v>
      </c>
      <c r="H88" s="6">
        <v>-30</v>
      </c>
      <c r="I88" s="7">
        <v>-1.47</v>
      </c>
      <c r="J88" s="6">
        <v>-15</v>
      </c>
      <c r="K88" s="7">
        <v>-0.77</v>
      </c>
    </row>
    <row r="89" spans="1:11" x14ac:dyDescent="0.2">
      <c r="A89" s="5" t="s">
        <v>172</v>
      </c>
      <c r="B89" s="6">
        <v>19549</v>
      </c>
      <c r="C89" s="6">
        <v>19004</v>
      </c>
      <c r="D89" s="6">
        <v>18898</v>
      </c>
      <c r="E89" s="6">
        <v>18972</v>
      </c>
      <c r="F89" s="6">
        <v>-55</v>
      </c>
      <c r="G89" s="7">
        <v>-0.28000000000000003</v>
      </c>
      <c r="H89" s="6">
        <v>-21</v>
      </c>
      <c r="I89" s="7">
        <v>-0.11</v>
      </c>
      <c r="J89" s="6">
        <v>15</v>
      </c>
      <c r="K89" s="7">
        <v>0.08</v>
      </c>
    </row>
    <row r="90" spans="1:11" x14ac:dyDescent="0.2">
      <c r="A90" s="5" t="s">
        <v>75</v>
      </c>
      <c r="B90" s="6">
        <v>966</v>
      </c>
      <c r="C90" s="6">
        <v>854</v>
      </c>
      <c r="D90" s="6">
        <v>798</v>
      </c>
      <c r="E90" s="6">
        <v>742</v>
      </c>
      <c r="F90" s="6">
        <v>-11</v>
      </c>
      <c r="G90" s="7">
        <v>-1.22</v>
      </c>
      <c r="H90" s="6">
        <v>-11</v>
      </c>
      <c r="I90" s="7">
        <v>-1.35</v>
      </c>
      <c r="J90" s="6">
        <v>-11</v>
      </c>
      <c r="K90" s="7">
        <v>-1.44</v>
      </c>
    </row>
    <row r="91" spans="1:11" x14ac:dyDescent="0.2">
      <c r="A91" s="5" t="s">
        <v>76</v>
      </c>
      <c r="B91" s="6">
        <v>9363</v>
      </c>
      <c r="C91" s="6">
        <v>11725</v>
      </c>
      <c r="D91" s="6">
        <v>13077</v>
      </c>
      <c r="E91" s="6">
        <v>13797</v>
      </c>
      <c r="F91" s="6">
        <v>236</v>
      </c>
      <c r="G91" s="7">
        <v>2.2799999999999998</v>
      </c>
      <c r="H91" s="6">
        <v>270</v>
      </c>
      <c r="I91" s="7">
        <v>2.21</v>
      </c>
      <c r="J91" s="6">
        <v>144</v>
      </c>
      <c r="K91" s="7">
        <v>1.08</v>
      </c>
    </row>
    <row r="92" spans="1:11" x14ac:dyDescent="0.2">
      <c r="A92" s="10" t="s">
        <v>173</v>
      </c>
      <c r="B92" s="11">
        <v>325423</v>
      </c>
      <c r="C92" s="11">
        <v>301143</v>
      </c>
      <c r="D92" s="11">
        <v>299327</v>
      </c>
      <c r="E92" s="11">
        <v>294373</v>
      </c>
      <c r="F92" s="11">
        <v>-2428</v>
      </c>
      <c r="G92" s="12">
        <v>-0.77</v>
      </c>
      <c r="H92" s="11">
        <v>-363</v>
      </c>
      <c r="I92" s="12">
        <v>-0.12</v>
      </c>
      <c r="J92" s="11">
        <v>-991</v>
      </c>
      <c r="K92" s="12">
        <v>-0.33</v>
      </c>
    </row>
    <row r="93" spans="1:11" x14ac:dyDescent="0.2">
      <c r="A93" s="5" t="s">
        <v>32</v>
      </c>
      <c r="B93" s="6">
        <v>1350</v>
      </c>
      <c r="C93" s="6">
        <v>1350</v>
      </c>
      <c r="D93" s="6">
        <v>1350</v>
      </c>
      <c r="E93" s="6">
        <v>1350</v>
      </c>
      <c r="F93" s="6">
        <v>0</v>
      </c>
      <c r="G93" s="6">
        <v>0</v>
      </c>
      <c r="H93" s="6">
        <v>0</v>
      </c>
      <c r="I93" s="6">
        <v>0</v>
      </c>
      <c r="J93" s="6">
        <v>0</v>
      </c>
      <c r="K93" s="6">
        <v>0</v>
      </c>
    </row>
    <row r="94" spans="1:11" x14ac:dyDescent="0.2">
      <c r="A94" s="5" t="s">
        <v>40</v>
      </c>
      <c r="B94" s="6">
        <v>977</v>
      </c>
      <c r="C94" s="6">
        <v>977</v>
      </c>
      <c r="D94" s="6">
        <v>977</v>
      </c>
      <c r="E94" s="6">
        <v>977</v>
      </c>
      <c r="F94" s="6">
        <v>0</v>
      </c>
      <c r="G94" s="6">
        <v>0</v>
      </c>
      <c r="H94" s="6">
        <v>0</v>
      </c>
      <c r="I94" s="6">
        <v>0</v>
      </c>
      <c r="J94" s="6">
        <v>0</v>
      </c>
      <c r="K94" s="6">
        <v>0</v>
      </c>
    </row>
    <row r="95" spans="1:11" x14ac:dyDescent="0.2">
      <c r="A95" s="5" t="s">
        <v>42</v>
      </c>
      <c r="B95" s="6">
        <v>347</v>
      </c>
      <c r="C95" s="6">
        <v>304</v>
      </c>
      <c r="D95" s="6">
        <v>283</v>
      </c>
      <c r="E95" s="6">
        <v>262</v>
      </c>
      <c r="F95" s="6">
        <v>-4</v>
      </c>
      <c r="G95" s="7">
        <v>-1.31</v>
      </c>
      <c r="H95" s="6">
        <v>-4</v>
      </c>
      <c r="I95" s="7">
        <v>-1.42</v>
      </c>
      <c r="J95" s="6">
        <v>-4</v>
      </c>
      <c r="K95" s="7">
        <v>-1.53</v>
      </c>
    </row>
    <row r="96" spans="1:11" x14ac:dyDescent="0.2">
      <c r="A96" s="5" t="s">
        <v>174</v>
      </c>
      <c r="B96" s="6">
        <v>936</v>
      </c>
      <c r="C96" s="6">
        <v>936</v>
      </c>
      <c r="D96" s="6">
        <v>936</v>
      </c>
      <c r="E96" s="6">
        <v>936</v>
      </c>
      <c r="F96" s="6">
        <v>0</v>
      </c>
      <c r="G96" s="6">
        <v>0</v>
      </c>
      <c r="H96" s="6">
        <v>0</v>
      </c>
      <c r="I96" s="6">
        <v>0</v>
      </c>
      <c r="J96" s="6">
        <v>0</v>
      </c>
      <c r="K96" s="6">
        <v>0</v>
      </c>
    </row>
    <row r="97" spans="1:11" x14ac:dyDescent="0.2">
      <c r="A97" s="5" t="s">
        <v>175</v>
      </c>
      <c r="B97" s="9" t="s">
        <v>47</v>
      </c>
      <c r="C97" s="9" t="s">
        <v>47</v>
      </c>
      <c r="D97" s="9" t="s">
        <v>47</v>
      </c>
      <c r="E97" s="6">
        <v>1</v>
      </c>
      <c r="F97" s="9" t="s">
        <v>47</v>
      </c>
      <c r="G97" s="7">
        <v>5.56</v>
      </c>
      <c r="H97" s="9" t="s">
        <v>47</v>
      </c>
      <c r="I97" s="7">
        <v>3.84</v>
      </c>
      <c r="J97" s="9" t="s">
        <v>47</v>
      </c>
      <c r="K97" s="7">
        <v>3.26</v>
      </c>
    </row>
    <row r="98" spans="1:11" x14ac:dyDescent="0.2">
      <c r="A98" s="5" t="s">
        <v>176</v>
      </c>
      <c r="B98" s="6">
        <v>161</v>
      </c>
      <c r="C98" s="6">
        <v>172</v>
      </c>
      <c r="D98" s="6">
        <v>173</v>
      </c>
      <c r="E98" s="6">
        <v>173</v>
      </c>
      <c r="F98" s="6">
        <v>1</v>
      </c>
      <c r="G98" s="7">
        <v>0.63</v>
      </c>
      <c r="H98" s="9" t="s">
        <v>47</v>
      </c>
      <c r="I98" s="7">
        <v>0.14000000000000001</v>
      </c>
      <c r="J98" s="9" t="s">
        <v>47</v>
      </c>
      <c r="K98" s="7">
        <v>0.04</v>
      </c>
    </row>
    <row r="99" spans="1:11" x14ac:dyDescent="0.2">
      <c r="A99" s="5" t="s">
        <v>177</v>
      </c>
      <c r="B99" s="6">
        <v>245</v>
      </c>
      <c r="C99" s="6">
        <v>310</v>
      </c>
      <c r="D99" s="6">
        <v>312</v>
      </c>
      <c r="E99" s="6">
        <v>317</v>
      </c>
      <c r="F99" s="6">
        <v>7</v>
      </c>
      <c r="G99" s="7">
        <v>2.38</v>
      </c>
      <c r="H99" s="9" t="s">
        <v>47</v>
      </c>
      <c r="I99" s="7">
        <v>0.13</v>
      </c>
      <c r="J99" s="6">
        <v>1</v>
      </c>
      <c r="K99" s="7">
        <v>0.34</v>
      </c>
    </row>
    <row r="100" spans="1:11" x14ac:dyDescent="0.2">
      <c r="A100" s="5" t="s">
        <v>178</v>
      </c>
      <c r="B100" s="6">
        <v>2779</v>
      </c>
      <c r="C100" s="6">
        <v>2768</v>
      </c>
      <c r="D100" s="6">
        <v>2755</v>
      </c>
      <c r="E100" s="6">
        <v>2742</v>
      </c>
      <c r="F100" s="6">
        <v>-1</v>
      </c>
      <c r="G100" s="7">
        <v>-0.04</v>
      </c>
      <c r="H100" s="6">
        <v>-3</v>
      </c>
      <c r="I100" s="7">
        <v>-0.09</v>
      </c>
      <c r="J100" s="6">
        <v>-3</v>
      </c>
      <c r="K100" s="7">
        <v>-0.09</v>
      </c>
    </row>
    <row r="101" spans="1:11" x14ac:dyDescent="0.2">
      <c r="A101" s="5" t="s">
        <v>179</v>
      </c>
      <c r="B101" s="6">
        <v>11075</v>
      </c>
      <c r="C101" s="6">
        <v>11075</v>
      </c>
      <c r="D101" s="6">
        <v>11075</v>
      </c>
      <c r="E101" s="6">
        <v>11075</v>
      </c>
      <c r="F101" s="6">
        <v>0</v>
      </c>
      <c r="G101" s="6">
        <v>0</v>
      </c>
      <c r="H101" s="6">
        <v>0</v>
      </c>
      <c r="I101" s="6">
        <v>0</v>
      </c>
      <c r="J101" s="6">
        <v>0</v>
      </c>
      <c r="K101" s="6">
        <v>0</v>
      </c>
    </row>
    <row r="102" spans="1:11" x14ac:dyDescent="0.2">
      <c r="A102" s="5" t="s">
        <v>77</v>
      </c>
      <c r="B102" s="6">
        <v>804</v>
      </c>
      <c r="C102" s="6">
        <v>818</v>
      </c>
      <c r="D102" s="6">
        <v>825</v>
      </c>
      <c r="E102" s="6">
        <v>825</v>
      </c>
      <c r="F102" s="6">
        <v>1</v>
      </c>
      <c r="G102" s="7">
        <v>0.17</v>
      </c>
      <c r="H102" s="6">
        <v>1</v>
      </c>
      <c r="I102" s="7">
        <v>0.17</v>
      </c>
      <c r="J102" s="6">
        <v>0</v>
      </c>
      <c r="K102" s="6">
        <v>0</v>
      </c>
    </row>
    <row r="103" spans="1:11" x14ac:dyDescent="0.2">
      <c r="A103" s="5" t="s">
        <v>180</v>
      </c>
      <c r="B103" s="6">
        <v>132</v>
      </c>
      <c r="C103" s="6">
        <v>153</v>
      </c>
      <c r="D103" s="6">
        <v>155</v>
      </c>
      <c r="E103" s="6">
        <v>154</v>
      </c>
      <c r="F103" s="6">
        <v>2</v>
      </c>
      <c r="G103" s="7">
        <v>1.49</v>
      </c>
      <c r="H103" s="9" t="s">
        <v>47</v>
      </c>
      <c r="I103" s="7">
        <v>0.26</v>
      </c>
      <c r="J103" s="9" t="s">
        <v>47</v>
      </c>
      <c r="K103" s="7">
        <v>-0.13</v>
      </c>
    </row>
    <row r="104" spans="1:11" x14ac:dyDescent="0.2">
      <c r="A104" s="5" t="s">
        <v>181</v>
      </c>
      <c r="B104" s="6">
        <v>98</v>
      </c>
      <c r="C104" s="6">
        <v>98</v>
      </c>
      <c r="D104" s="6">
        <v>98</v>
      </c>
      <c r="E104" s="6">
        <v>98</v>
      </c>
      <c r="F104" s="6">
        <v>0</v>
      </c>
      <c r="G104" s="6">
        <v>0</v>
      </c>
      <c r="H104" s="6">
        <v>0</v>
      </c>
      <c r="I104" s="6">
        <v>0</v>
      </c>
      <c r="J104" s="6">
        <v>0</v>
      </c>
      <c r="K104" s="6">
        <v>0</v>
      </c>
    </row>
    <row r="105" spans="1:11" x14ac:dyDescent="0.2">
      <c r="A105" s="5" t="s">
        <v>78</v>
      </c>
      <c r="B105" s="6">
        <v>3422</v>
      </c>
      <c r="C105" s="6">
        <v>3365</v>
      </c>
      <c r="D105" s="6">
        <v>3337</v>
      </c>
      <c r="E105" s="6">
        <v>3309</v>
      </c>
      <c r="F105" s="6">
        <v>-6</v>
      </c>
      <c r="G105" s="7">
        <v>-0.17</v>
      </c>
      <c r="H105" s="6">
        <v>-6</v>
      </c>
      <c r="I105" s="7">
        <v>-0.17</v>
      </c>
      <c r="J105" s="6">
        <v>-6</v>
      </c>
      <c r="K105" s="7">
        <v>-0.17</v>
      </c>
    </row>
    <row r="106" spans="1:11" x14ac:dyDescent="0.2">
      <c r="A106" s="5" t="s">
        <v>182</v>
      </c>
      <c r="B106" s="6">
        <v>836</v>
      </c>
      <c r="C106" s="6">
        <v>858</v>
      </c>
      <c r="D106" s="6">
        <v>869</v>
      </c>
      <c r="E106" s="6">
        <v>954</v>
      </c>
      <c r="F106" s="6">
        <v>2</v>
      </c>
      <c r="G106" s="7">
        <v>0.26</v>
      </c>
      <c r="H106" s="6">
        <v>2</v>
      </c>
      <c r="I106" s="7">
        <v>0.26</v>
      </c>
      <c r="J106" s="6">
        <v>17</v>
      </c>
      <c r="K106" s="7">
        <v>1.87</v>
      </c>
    </row>
    <row r="107" spans="1:11" x14ac:dyDescent="0.2">
      <c r="A107" s="5" t="s">
        <v>183</v>
      </c>
      <c r="B107" s="6">
        <v>3</v>
      </c>
      <c r="C107" s="6">
        <v>5</v>
      </c>
      <c r="D107" s="6">
        <v>6</v>
      </c>
      <c r="E107" s="6">
        <v>6</v>
      </c>
      <c r="F107" s="9" t="s">
        <v>47</v>
      </c>
      <c r="G107" s="7">
        <v>3.46</v>
      </c>
      <c r="H107" s="9" t="s">
        <v>47</v>
      </c>
      <c r="I107" s="7">
        <v>2.73</v>
      </c>
      <c r="J107" s="9" t="s">
        <v>47</v>
      </c>
      <c r="K107" s="8">
        <v>2.4</v>
      </c>
    </row>
    <row r="108" spans="1:11" x14ac:dyDescent="0.2">
      <c r="A108" s="5" t="s">
        <v>184</v>
      </c>
      <c r="B108" s="6">
        <v>131</v>
      </c>
      <c r="C108" s="6">
        <v>131</v>
      </c>
      <c r="D108" s="6">
        <v>137</v>
      </c>
      <c r="E108" s="6">
        <v>137</v>
      </c>
      <c r="F108" s="6">
        <v>0</v>
      </c>
      <c r="G108" s="6">
        <v>0</v>
      </c>
      <c r="H108" s="6">
        <v>1</v>
      </c>
      <c r="I108" s="7">
        <v>0.83</v>
      </c>
      <c r="J108" s="9" t="s">
        <v>47</v>
      </c>
      <c r="K108" s="7">
        <v>0.06</v>
      </c>
    </row>
    <row r="109" spans="1:11" x14ac:dyDescent="0.2">
      <c r="A109" s="5" t="s">
        <v>79</v>
      </c>
      <c r="B109" s="6">
        <v>2</v>
      </c>
      <c r="C109" s="6">
        <v>2</v>
      </c>
      <c r="D109" s="6">
        <v>2</v>
      </c>
      <c r="E109" s="6">
        <v>2</v>
      </c>
      <c r="F109" s="6">
        <v>0</v>
      </c>
      <c r="G109" s="6">
        <v>0</v>
      </c>
      <c r="H109" s="6">
        <v>0</v>
      </c>
      <c r="I109" s="6">
        <v>0</v>
      </c>
      <c r="J109" s="6">
        <v>0</v>
      </c>
      <c r="K109" s="6">
        <v>0</v>
      </c>
    </row>
    <row r="110" spans="1:11" x14ac:dyDescent="0.2">
      <c r="A110" s="5" t="s">
        <v>185</v>
      </c>
      <c r="B110" s="6">
        <v>3045</v>
      </c>
      <c r="C110" s="6">
        <v>3212</v>
      </c>
      <c r="D110" s="6">
        <v>3295</v>
      </c>
      <c r="E110" s="6">
        <v>3276</v>
      </c>
      <c r="F110" s="6">
        <v>17</v>
      </c>
      <c r="G110" s="7">
        <v>0.54</v>
      </c>
      <c r="H110" s="6">
        <v>17</v>
      </c>
      <c r="I110" s="7">
        <v>0.51</v>
      </c>
      <c r="J110" s="6">
        <v>-4</v>
      </c>
      <c r="K110" s="7">
        <v>-0.12</v>
      </c>
    </row>
    <row r="111" spans="1:11" x14ac:dyDescent="0.2">
      <c r="A111" s="5" t="s">
        <v>80</v>
      </c>
      <c r="B111" s="6">
        <v>0</v>
      </c>
      <c r="C111" s="6">
        <v>0</v>
      </c>
      <c r="D111" s="6">
        <v>0</v>
      </c>
      <c r="E111" s="6">
        <v>0</v>
      </c>
      <c r="F111" s="6">
        <v>0</v>
      </c>
      <c r="G111" s="9" t="s">
        <v>45</v>
      </c>
      <c r="H111" s="6">
        <v>0</v>
      </c>
      <c r="I111" s="9" t="s">
        <v>45</v>
      </c>
      <c r="J111" s="6">
        <v>0</v>
      </c>
      <c r="K111" s="9" t="s">
        <v>45</v>
      </c>
    </row>
    <row r="112" spans="1:11" x14ac:dyDescent="0.2">
      <c r="A112" s="5" t="s">
        <v>186</v>
      </c>
      <c r="B112" s="6">
        <v>372</v>
      </c>
      <c r="C112" s="6">
        <v>432</v>
      </c>
      <c r="D112" s="6">
        <v>461</v>
      </c>
      <c r="E112" s="6">
        <v>491</v>
      </c>
      <c r="F112" s="6">
        <v>6</v>
      </c>
      <c r="G112" s="7">
        <v>1.51</v>
      </c>
      <c r="H112" s="6">
        <v>6</v>
      </c>
      <c r="I112" s="7">
        <v>1.31</v>
      </c>
      <c r="J112" s="6">
        <v>6</v>
      </c>
      <c r="K112" s="7">
        <v>1.27</v>
      </c>
    </row>
    <row r="113" spans="1:11" x14ac:dyDescent="0.2">
      <c r="A113" s="5" t="s">
        <v>187</v>
      </c>
      <c r="B113" s="6">
        <v>408</v>
      </c>
      <c r="C113" s="6">
        <v>410</v>
      </c>
      <c r="D113" s="6">
        <v>410</v>
      </c>
      <c r="E113" s="6">
        <v>410</v>
      </c>
      <c r="F113" s="9" t="s">
        <v>47</v>
      </c>
      <c r="G113" s="7">
        <v>0.05</v>
      </c>
      <c r="H113" s="6">
        <v>0</v>
      </c>
      <c r="I113" s="6">
        <v>0</v>
      </c>
      <c r="J113" s="6">
        <v>0</v>
      </c>
      <c r="K113" s="6">
        <v>0</v>
      </c>
    </row>
    <row r="114" spans="1:11" x14ac:dyDescent="0.2">
      <c r="A114" s="5" t="s">
        <v>188</v>
      </c>
      <c r="B114" s="6">
        <v>9</v>
      </c>
      <c r="C114" s="6">
        <v>9</v>
      </c>
      <c r="D114" s="6">
        <v>9</v>
      </c>
      <c r="E114" s="6">
        <v>9</v>
      </c>
      <c r="F114" s="6">
        <v>0</v>
      </c>
      <c r="G114" s="6">
        <v>0</v>
      </c>
      <c r="H114" s="9" t="s">
        <v>47</v>
      </c>
      <c r="I114" s="8">
        <v>0.2</v>
      </c>
      <c r="J114" s="6">
        <v>0</v>
      </c>
      <c r="K114" s="6">
        <v>0</v>
      </c>
    </row>
    <row r="115" spans="1:11" x14ac:dyDescent="0.2">
      <c r="A115" s="5" t="s">
        <v>189</v>
      </c>
      <c r="B115" s="6">
        <v>4127</v>
      </c>
      <c r="C115" s="6">
        <v>4127</v>
      </c>
      <c r="D115" s="6">
        <v>4127</v>
      </c>
      <c r="E115" s="6">
        <v>4127</v>
      </c>
      <c r="F115" s="6">
        <v>0</v>
      </c>
      <c r="G115" s="6">
        <v>0</v>
      </c>
      <c r="H115" s="6">
        <v>0</v>
      </c>
      <c r="I115" s="6">
        <v>0</v>
      </c>
      <c r="J115" s="6">
        <v>0</v>
      </c>
      <c r="K115" s="6">
        <v>0</v>
      </c>
    </row>
    <row r="116" spans="1:11" x14ac:dyDescent="0.2">
      <c r="A116" s="5" t="s">
        <v>190</v>
      </c>
      <c r="B116" s="6">
        <v>9680</v>
      </c>
      <c r="C116" s="6">
        <v>10146</v>
      </c>
      <c r="D116" s="6">
        <v>10740</v>
      </c>
      <c r="E116" s="6">
        <v>11334</v>
      </c>
      <c r="F116" s="6">
        <v>47</v>
      </c>
      <c r="G116" s="7">
        <v>0.47</v>
      </c>
      <c r="H116" s="6">
        <v>119</v>
      </c>
      <c r="I116" s="7">
        <v>1.1399999999999999</v>
      </c>
      <c r="J116" s="6">
        <v>119</v>
      </c>
      <c r="K116" s="7">
        <v>1.08</v>
      </c>
    </row>
    <row r="117" spans="1:11" x14ac:dyDescent="0.2">
      <c r="A117" s="5" t="s">
        <v>191</v>
      </c>
      <c r="B117" s="6">
        <v>549</v>
      </c>
      <c r="C117" s="6">
        <v>549</v>
      </c>
      <c r="D117" s="6">
        <v>549</v>
      </c>
      <c r="E117" s="6">
        <v>549</v>
      </c>
      <c r="F117" s="6">
        <v>0</v>
      </c>
      <c r="G117" s="6">
        <v>0</v>
      </c>
      <c r="H117" s="6">
        <v>0</v>
      </c>
      <c r="I117" s="6">
        <v>0</v>
      </c>
      <c r="J117" s="6">
        <v>0</v>
      </c>
      <c r="K117" s="6">
        <v>0</v>
      </c>
    </row>
    <row r="118" spans="1:11" x14ac:dyDescent="0.2">
      <c r="A118" s="10" t="s">
        <v>192</v>
      </c>
      <c r="B118" s="11">
        <v>41489</v>
      </c>
      <c r="C118" s="11">
        <v>42207</v>
      </c>
      <c r="D118" s="11">
        <v>42880</v>
      </c>
      <c r="E118" s="11">
        <v>43513</v>
      </c>
      <c r="F118" s="11">
        <v>72</v>
      </c>
      <c r="G118" s="12">
        <v>0.17</v>
      </c>
      <c r="H118" s="11">
        <v>135</v>
      </c>
      <c r="I118" s="12">
        <v>0.32</v>
      </c>
      <c r="J118" s="11">
        <v>127</v>
      </c>
      <c r="K118" s="12">
        <v>0.28999999999999998</v>
      </c>
    </row>
    <row r="119" spans="1:11" x14ac:dyDescent="0.2">
      <c r="A119" s="10" t="s">
        <v>193</v>
      </c>
      <c r="B119" s="11">
        <v>576110</v>
      </c>
      <c r="C119" s="11">
        <v>570164</v>
      </c>
      <c r="D119" s="11">
        <v>584048</v>
      </c>
      <c r="E119" s="11">
        <v>592512</v>
      </c>
      <c r="F119" s="11">
        <v>-595</v>
      </c>
      <c r="G119" s="15">
        <v>-0.1</v>
      </c>
      <c r="H119" s="11">
        <v>2777</v>
      </c>
      <c r="I119" s="12">
        <v>0.48</v>
      </c>
      <c r="J119" s="11">
        <v>1693</v>
      </c>
      <c r="K119" s="12">
        <v>0.28999999999999998</v>
      </c>
    </row>
    <row r="120" spans="1:11" x14ac:dyDescent="0.2">
      <c r="A120" s="5" t="s">
        <v>34</v>
      </c>
      <c r="B120" s="6">
        <v>789</v>
      </c>
      <c r="C120" s="6">
        <v>769</v>
      </c>
      <c r="D120" s="6">
        <v>782</v>
      </c>
      <c r="E120" s="6">
        <v>776</v>
      </c>
      <c r="F120" s="6">
        <v>-2</v>
      </c>
      <c r="G120" s="7">
        <v>-0.26</v>
      </c>
      <c r="H120" s="6">
        <v>3</v>
      </c>
      <c r="I120" s="7">
        <v>0.34</v>
      </c>
      <c r="J120" s="6">
        <v>-1</v>
      </c>
      <c r="K120" s="7">
        <v>-0.15</v>
      </c>
    </row>
    <row r="121" spans="1:11" x14ac:dyDescent="0.2">
      <c r="A121" s="5" t="s">
        <v>36</v>
      </c>
      <c r="B121" s="6">
        <v>10741</v>
      </c>
      <c r="C121" s="6">
        <v>11076</v>
      </c>
      <c r="D121" s="6">
        <v>11076</v>
      </c>
      <c r="E121" s="6">
        <v>11076</v>
      </c>
      <c r="F121" s="6">
        <v>34</v>
      </c>
      <c r="G121" s="7">
        <v>0.31</v>
      </c>
      <c r="H121" s="6">
        <v>0</v>
      </c>
      <c r="I121" s="6">
        <v>0</v>
      </c>
      <c r="J121" s="6">
        <v>0</v>
      </c>
      <c r="K121" s="6">
        <v>0</v>
      </c>
    </row>
    <row r="122" spans="1:11" x14ac:dyDescent="0.2">
      <c r="A122" s="5" t="s">
        <v>37</v>
      </c>
      <c r="B122" s="6">
        <v>16</v>
      </c>
      <c r="C122" s="6">
        <v>16</v>
      </c>
      <c r="D122" s="6">
        <v>16</v>
      </c>
      <c r="E122" s="6">
        <v>16</v>
      </c>
      <c r="F122" s="6">
        <v>0</v>
      </c>
      <c r="G122" s="6">
        <v>0</v>
      </c>
      <c r="H122" s="6">
        <v>0</v>
      </c>
      <c r="I122" s="6">
        <v>0</v>
      </c>
      <c r="J122" s="6">
        <v>0</v>
      </c>
      <c r="K122" s="6">
        <v>0</v>
      </c>
    </row>
    <row r="123" spans="1:11" x14ac:dyDescent="0.2">
      <c r="A123" s="5" t="s">
        <v>44</v>
      </c>
      <c r="B123" s="6">
        <v>3776</v>
      </c>
      <c r="C123" s="6">
        <v>3838</v>
      </c>
      <c r="D123" s="6">
        <v>3862</v>
      </c>
      <c r="E123" s="6">
        <v>3887</v>
      </c>
      <c r="F123" s="6">
        <v>6</v>
      </c>
      <c r="G123" s="7">
        <v>0.16</v>
      </c>
      <c r="H123" s="6">
        <v>5</v>
      </c>
      <c r="I123" s="7">
        <v>0.12</v>
      </c>
      <c r="J123" s="6">
        <v>5</v>
      </c>
      <c r="K123" s="7">
        <v>0.13</v>
      </c>
    </row>
    <row r="124" spans="1:11" x14ac:dyDescent="0.2">
      <c r="A124" s="5" t="s">
        <v>194</v>
      </c>
      <c r="B124" s="6">
        <v>7780</v>
      </c>
      <c r="C124" s="6">
        <v>8273</v>
      </c>
      <c r="D124" s="6">
        <v>8436</v>
      </c>
      <c r="E124" s="6">
        <v>8630</v>
      </c>
      <c r="F124" s="6">
        <v>49</v>
      </c>
      <c r="G124" s="7">
        <v>0.62</v>
      </c>
      <c r="H124" s="6">
        <v>33</v>
      </c>
      <c r="I124" s="7">
        <v>0.39</v>
      </c>
      <c r="J124" s="6">
        <v>39</v>
      </c>
      <c r="K124" s="7">
        <v>0.46</v>
      </c>
    </row>
    <row r="125" spans="1:11" x14ac:dyDescent="0.2">
      <c r="A125" s="5" t="s">
        <v>195</v>
      </c>
      <c r="B125" s="6">
        <v>677</v>
      </c>
      <c r="C125" s="6">
        <v>667</v>
      </c>
      <c r="D125" s="6">
        <v>673</v>
      </c>
      <c r="E125" s="6">
        <v>678</v>
      </c>
      <c r="F125" s="6">
        <v>-1</v>
      </c>
      <c r="G125" s="7">
        <v>-0.15</v>
      </c>
      <c r="H125" s="6">
        <v>1</v>
      </c>
      <c r="I125" s="7">
        <v>0.16</v>
      </c>
      <c r="J125" s="6">
        <v>1</v>
      </c>
      <c r="K125" s="7">
        <v>0.15</v>
      </c>
    </row>
    <row r="126" spans="1:11" x14ac:dyDescent="0.2">
      <c r="A126" s="5" t="s">
        <v>196</v>
      </c>
      <c r="B126" s="6">
        <v>2210</v>
      </c>
      <c r="C126" s="6">
        <v>2185</v>
      </c>
      <c r="D126" s="6">
        <v>2185</v>
      </c>
      <c r="E126" s="6">
        <v>2185</v>
      </c>
      <c r="F126" s="6">
        <v>-3</v>
      </c>
      <c r="G126" s="7">
        <v>-0.11</v>
      </c>
      <c r="H126" s="6">
        <v>0</v>
      </c>
      <c r="I126" s="6">
        <v>0</v>
      </c>
      <c r="J126" s="6">
        <v>0</v>
      </c>
      <c r="K126" s="6">
        <v>0</v>
      </c>
    </row>
    <row r="127" spans="1:11" x14ac:dyDescent="0.2">
      <c r="A127" s="5" t="s">
        <v>197</v>
      </c>
      <c r="B127" s="6">
        <v>3327</v>
      </c>
      <c r="C127" s="6">
        <v>3375</v>
      </c>
      <c r="D127" s="6">
        <v>3651</v>
      </c>
      <c r="E127" s="6">
        <v>3927</v>
      </c>
      <c r="F127" s="6">
        <v>5</v>
      </c>
      <c r="G127" s="7">
        <v>0.14000000000000001</v>
      </c>
      <c r="H127" s="6">
        <v>55</v>
      </c>
      <c r="I127" s="7">
        <v>1.58</v>
      </c>
      <c r="J127" s="6">
        <v>55</v>
      </c>
      <c r="K127" s="7">
        <v>1.47</v>
      </c>
    </row>
    <row r="128" spans="1:11" x14ac:dyDescent="0.2">
      <c r="A128" s="5" t="s">
        <v>198</v>
      </c>
      <c r="B128" s="6">
        <v>1850</v>
      </c>
      <c r="C128" s="6">
        <v>1885</v>
      </c>
      <c r="D128" s="6">
        <v>1903</v>
      </c>
      <c r="E128" s="6">
        <v>1920</v>
      </c>
      <c r="F128" s="6">
        <v>4</v>
      </c>
      <c r="G128" s="7">
        <v>0.19</v>
      </c>
      <c r="H128" s="6">
        <v>4</v>
      </c>
      <c r="I128" s="7">
        <v>0.19</v>
      </c>
      <c r="J128" s="6">
        <v>3</v>
      </c>
      <c r="K128" s="7">
        <v>0.18</v>
      </c>
    </row>
    <row r="129" spans="1:11" x14ac:dyDescent="0.2">
      <c r="A129" s="5" t="s">
        <v>199</v>
      </c>
      <c r="B129" s="6">
        <v>445</v>
      </c>
      <c r="C129" s="6">
        <v>486</v>
      </c>
      <c r="D129" s="6">
        <v>534</v>
      </c>
      <c r="E129" s="6">
        <v>544</v>
      </c>
      <c r="F129" s="6">
        <v>4</v>
      </c>
      <c r="G129" s="7">
        <v>0.89</v>
      </c>
      <c r="H129" s="6">
        <v>10</v>
      </c>
      <c r="I129" s="8">
        <v>1.9</v>
      </c>
      <c r="J129" s="6">
        <v>2</v>
      </c>
      <c r="K129" s="7">
        <v>0.37</v>
      </c>
    </row>
    <row r="130" spans="1:11" x14ac:dyDescent="0.2">
      <c r="A130" s="5" t="s">
        <v>200</v>
      </c>
      <c r="B130" s="6">
        <v>13818</v>
      </c>
      <c r="C130" s="6">
        <v>16988</v>
      </c>
      <c r="D130" s="6">
        <v>17293</v>
      </c>
      <c r="E130" s="6">
        <v>18173</v>
      </c>
      <c r="F130" s="6">
        <v>317</v>
      </c>
      <c r="G130" s="7">
        <v>2.09</v>
      </c>
      <c r="H130" s="6">
        <v>61</v>
      </c>
      <c r="I130" s="7">
        <v>0.36</v>
      </c>
      <c r="J130" s="6">
        <v>176</v>
      </c>
      <c r="K130" s="13">
        <v>1</v>
      </c>
    </row>
    <row r="131" spans="1:11" x14ac:dyDescent="0.2">
      <c r="A131" s="5" t="s">
        <v>201</v>
      </c>
      <c r="B131" s="6">
        <v>2090</v>
      </c>
      <c r="C131" s="6">
        <v>2243</v>
      </c>
      <c r="D131" s="6">
        <v>2252</v>
      </c>
      <c r="E131" s="6">
        <v>2217</v>
      </c>
      <c r="F131" s="6">
        <v>15</v>
      </c>
      <c r="G131" s="7">
        <v>0.71</v>
      </c>
      <c r="H131" s="6">
        <v>2</v>
      </c>
      <c r="I131" s="7">
        <v>0.08</v>
      </c>
      <c r="J131" s="6">
        <v>-7</v>
      </c>
      <c r="K131" s="7">
        <v>-0.31</v>
      </c>
    </row>
    <row r="132" spans="1:11" x14ac:dyDescent="0.2">
      <c r="A132" s="5" t="s">
        <v>202</v>
      </c>
      <c r="B132" s="6">
        <v>912</v>
      </c>
      <c r="C132" s="6">
        <v>958</v>
      </c>
      <c r="D132" s="6">
        <v>975</v>
      </c>
      <c r="E132" s="6">
        <v>998</v>
      </c>
      <c r="F132" s="6">
        <v>5</v>
      </c>
      <c r="G132" s="7">
        <v>0.49</v>
      </c>
      <c r="H132" s="6">
        <v>3</v>
      </c>
      <c r="I132" s="7">
        <v>0.35</v>
      </c>
      <c r="J132" s="6">
        <v>5</v>
      </c>
      <c r="K132" s="7">
        <v>0.47</v>
      </c>
    </row>
    <row r="133" spans="1:11" x14ac:dyDescent="0.2">
      <c r="A133" s="5" t="s">
        <v>203</v>
      </c>
      <c r="B133" s="6">
        <v>808950</v>
      </c>
      <c r="C133" s="6">
        <v>809269</v>
      </c>
      <c r="D133" s="6">
        <v>808790</v>
      </c>
      <c r="E133" s="6">
        <v>809090</v>
      </c>
      <c r="F133" s="6">
        <v>32</v>
      </c>
      <c r="G133" s="9" t="s">
        <v>47</v>
      </c>
      <c r="H133" s="6">
        <v>-96</v>
      </c>
      <c r="I133" s="7">
        <v>-0.01</v>
      </c>
      <c r="J133" s="6">
        <v>60</v>
      </c>
      <c r="K133" s="7">
        <v>0.01</v>
      </c>
    </row>
    <row r="134" spans="1:11" x14ac:dyDescent="0.2">
      <c r="A134" s="5" t="s">
        <v>204</v>
      </c>
      <c r="B134" s="6">
        <v>21889</v>
      </c>
      <c r="C134" s="6">
        <v>22459</v>
      </c>
      <c r="D134" s="6">
        <v>22157</v>
      </c>
      <c r="E134" s="6">
        <v>22157</v>
      </c>
      <c r="F134" s="6">
        <v>57</v>
      </c>
      <c r="G134" s="7">
        <v>0.26</v>
      </c>
      <c r="H134" s="6">
        <v>-60</v>
      </c>
      <c r="I134" s="7">
        <v>-0.27</v>
      </c>
      <c r="J134" s="6">
        <v>0</v>
      </c>
      <c r="K134" s="6">
        <v>0</v>
      </c>
    </row>
    <row r="135" spans="1:11" x14ac:dyDescent="0.2">
      <c r="A135" s="5" t="s">
        <v>81</v>
      </c>
      <c r="B135" s="6">
        <v>14537</v>
      </c>
      <c r="C135" s="6">
        <v>15353</v>
      </c>
      <c r="D135" s="6">
        <v>15714</v>
      </c>
      <c r="E135" s="6">
        <v>15954</v>
      </c>
      <c r="F135" s="6">
        <v>82</v>
      </c>
      <c r="G135" s="7">
        <v>0.55000000000000004</v>
      </c>
      <c r="H135" s="6">
        <v>72</v>
      </c>
      <c r="I135" s="7">
        <v>0.47</v>
      </c>
      <c r="J135" s="6">
        <v>48</v>
      </c>
      <c r="K135" s="8">
        <v>0.3</v>
      </c>
    </row>
    <row r="136" spans="1:11" x14ac:dyDescent="0.2">
      <c r="A136" s="5" t="s">
        <v>82</v>
      </c>
      <c r="B136" s="6">
        <v>0</v>
      </c>
      <c r="C136" s="6">
        <v>0</v>
      </c>
      <c r="D136" s="6">
        <v>0</v>
      </c>
      <c r="E136" s="6">
        <v>0</v>
      </c>
      <c r="F136" s="6">
        <v>0</v>
      </c>
      <c r="G136" s="9" t="s">
        <v>45</v>
      </c>
      <c r="H136" s="6">
        <v>0</v>
      </c>
      <c r="I136" s="9" t="s">
        <v>45</v>
      </c>
      <c r="J136" s="6">
        <v>0</v>
      </c>
      <c r="K136" s="9" t="s">
        <v>45</v>
      </c>
    </row>
    <row r="137" spans="1:11" x14ac:dyDescent="0.2">
      <c r="A137" s="5" t="s">
        <v>205</v>
      </c>
      <c r="B137" s="6">
        <v>3299</v>
      </c>
      <c r="C137" s="6">
        <v>3601</v>
      </c>
      <c r="D137" s="6">
        <v>3752</v>
      </c>
      <c r="E137" s="6">
        <v>3903</v>
      </c>
      <c r="F137" s="6">
        <v>30</v>
      </c>
      <c r="G137" s="7">
        <v>0.88</v>
      </c>
      <c r="H137" s="6">
        <v>30</v>
      </c>
      <c r="I137" s="7">
        <v>0.82</v>
      </c>
      <c r="J137" s="6">
        <v>30</v>
      </c>
      <c r="K137" s="7">
        <v>0.79</v>
      </c>
    </row>
    <row r="138" spans="1:11" x14ac:dyDescent="0.2">
      <c r="A138" s="5" t="s">
        <v>206</v>
      </c>
      <c r="B138" s="9" t="s">
        <v>47</v>
      </c>
      <c r="C138" s="9" t="s">
        <v>47</v>
      </c>
      <c r="D138" s="9" t="s">
        <v>47</v>
      </c>
      <c r="E138" s="9" t="s">
        <v>47</v>
      </c>
      <c r="F138" s="6">
        <v>0</v>
      </c>
      <c r="G138" s="6">
        <v>0</v>
      </c>
      <c r="H138" s="6">
        <v>0</v>
      </c>
      <c r="I138" s="6">
        <v>0</v>
      </c>
      <c r="J138" s="6">
        <v>0</v>
      </c>
      <c r="K138" s="6">
        <v>0</v>
      </c>
    </row>
    <row r="139" spans="1:11" x14ac:dyDescent="0.2">
      <c r="A139" s="5" t="s">
        <v>207</v>
      </c>
      <c r="B139" s="6">
        <v>1801</v>
      </c>
      <c r="C139" s="6">
        <v>1907</v>
      </c>
      <c r="D139" s="6">
        <v>1983</v>
      </c>
      <c r="E139" s="6">
        <v>2029</v>
      </c>
      <c r="F139" s="6">
        <v>11</v>
      </c>
      <c r="G139" s="7">
        <v>0.56999999999999995</v>
      </c>
      <c r="H139" s="6">
        <v>15</v>
      </c>
      <c r="I139" s="7">
        <v>0.78</v>
      </c>
      <c r="J139" s="6">
        <v>9</v>
      </c>
      <c r="K139" s="7">
        <v>0.46</v>
      </c>
    </row>
    <row r="140" spans="1:11" x14ac:dyDescent="0.2">
      <c r="A140" s="5" t="s">
        <v>208</v>
      </c>
      <c r="B140" s="9" t="s">
        <v>47</v>
      </c>
      <c r="C140" s="9" t="s">
        <v>47</v>
      </c>
      <c r="D140" s="9" t="s">
        <v>47</v>
      </c>
      <c r="E140" s="9" t="s">
        <v>47</v>
      </c>
      <c r="F140" s="6">
        <v>0</v>
      </c>
      <c r="G140" s="6">
        <v>0</v>
      </c>
      <c r="H140" s="6">
        <v>0</v>
      </c>
      <c r="I140" s="6">
        <v>0</v>
      </c>
      <c r="J140" s="6">
        <v>0</v>
      </c>
      <c r="K140" s="6">
        <v>0</v>
      </c>
    </row>
    <row r="141" spans="1:11" x14ac:dyDescent="0.2">
      <c r="A141" s="5" t="s">
        <v>209</v>
      </c>
      <c r="B141" s="6">
        <v>3</v>
      </c>
      <c r="C141" s="6">
        <v>3</v>
      </c>
      <c r="D141" s="6">
        <v>3</v>
      </c>
      <c r="E141" s="6">
        <v>3</v>
      </c>
      <c r="F141" s="6">
        <v>0</v>
      </c>
      <c r="G141" s="6">
        <v>0</v>
      </c>
      <c r="H141" s="6">
        <v>0</v>
      </c>
      <c r="I141" s="6">
        <v>0</v>
      </c>
      <c r="J141" s="6">
        <v>0</v>
      </c>
      <c r="K141" s="6">
        <v>0</v>
      </c>
    </row>
    <row r="142" spans="1:11" x14ac:dyDescent="0.2">
      <c r="A142" s="5" t="s">
        <v>210</v>
      </c>
      <c r="B142" s="6">
        <v>0</v>
      </c>
      <c r="C142" s="6">
        <v>0</v>
      </c>
      <c r="D142" s="6">
        <v>0</v>
      </c>
      <c r="E142" s="6">
        <v>0</v>
      </c>
      <c r="F142" s="6">
        <v>0</v>
      </c>
      <c r="G142" s="9" t="s">
        <v>45</v>
      </c>
      <c r="H142" s="6">
        <v>0</v>
      </c>
      <c r="I142" s="9" t="s">
        <v>45</v>
      </c>
      <c r="J142" s="6">
        <v>0</v>
      </c>
      <c r="K142" s="9" t="s">
        <v>45</v>
      </c>
    </row>
    <row r="143" spans="1:11" x14ac:dyDescent="0.2">
      <c r="A143" s="5" t="s">
        <v>211</v>
      </c>
      <c r="B143" s="6">
        <v>465</v>
      </c>
      <c r="C143" s="6">
        <v>635</v>
      </c>
      <c r="D143" s="6">
        <v>695</v>
      </c>
      <c r="E143" s="6">
        <v>739</v>
      </c>
      <c r="F143" s="6">
        <v>17</v>
      </c>
      <c r="G143" s="7">
        <v>3.16</v>
      </c>
      <c r="H143" s="6">
        <v>12</v>
      </c>
      <c r="I143" s="7">
        <v>1.82</v>
      </c>
      <c r="J143" s="6">
        <v>9</v>
      </c>
      <c r="K143" s="7">
        <v>1.24</v>
      </c>
    </row>
    <row r="144" spans="1:11" x14ac:dyDescent="0.2">
      <c r="A144" s="5" t="s">
        <v>212</v>
      </c>
      <c r="B144" s="6">
        <v>9</v>
      </c>
      <c r="C144" s="6">
        <v>18</v>
      </c>
      <c r="D144" s="6">
        <v>25</v>
      </c>
      <c r="E144" s="6">
        <v>30</v>
      </c>
      <c r="F144" s="6">
        <v>1</v>
      </c>
      <c r="G144" s="7">
        <v>7.78</v>
      </c>
      <c r="H144" s="6">
        <v>1</v>
      </c>
      <c r="I144" s="7">
        <v>6.66</v>
      </c>
      <c r="J144" s="6">
        <v>1</v>
      </c>
      <c r="K144" s="7">
        <v>3.32</v>
      </c>
    </row>
    <row r="145" spans="1:11" x14ac:dyDescent="0.2">
      <c r="A145" s="5" t="s">
        <v>213</v>
      </c>
      <c r="B145" s="6">
        <v>7590</v>
      </c>
      <c r="C145" s="6">
        <v>8369</v>
      </c>
      <c r="D145" s="6">
        <v>8759</v>
      </c>
      <c r="E145" s="6">
        <v>9149</v>
      </c>
      <c r="F145" s="6">
        <v>78</v>
      </c>
      <c r="G145" s="7">
        <v>0.98</v>
      </c>
      <c r="H145" s="6">
        <v>78</v>
      </c>
      <c r="I145" s="7">
        <v>0.92</v>
      </c>
      <c r="J145" s="6">
        <v>78</v>
      </c>
      <c r="K145" s="7">
        <v>0.88</v>
      </c>
    </row>
    <row r="146" spans="1:11" x14ac:dyDescent="0.2">
      <c r="A146" s="5" t="s">
        <v>214</v>
      </c>
      <c r="B146" s="6">
        <v>1</v>
      </c>
      <c r="C146" s="6">
        <v>1</v>
      </c>
      <c r="D146" s="6">
        <v>1</v>
      </c>
      <c r="E146" s="6">
        <v>1</v>
      </c>
      <c r="F146" s="6">
        <v>0</v>
      </c>
      <c r="G146" s="6">
        <v>0</v>
      </c>
      <c r="H146" s="6">
        <v>0</v>
      </c>
      <c r="I146" s="6">
        <v>0</v>
      </c>
      <c r="J146" s="6">
        <v>0</v>
      </c>
      <c r="K146" s="6">
        <v>0</v>
      </c>
    </row>
    <row r="147" spans="1:11" x14ac:dyDescent="0.2">
      <c r="A147" s="5" t="s">
        <v>215</v>
      </c>
      <c r="B147" s="6">
        <v>3173</v>
      </c>
      <c r="C147" s="6">
        <v>3241</v>
      </c>
      <c r="D147" s="6">
        <v>3297</v>
      </c>
      <c r="E147" s="6">
        <v>3354</v>
      </c>
      <c r="F147" s="6">
        <v>7</v>
      </c>
      <c r="G147" s="7">
        <v>0.21</v>
      </c>
      <c r="H147" s="6">
        <v>11</v>
      </c>
      <c r="I147" s="7">
        <v>0.34</v>
      </c>
      <c r="J147" s="6">
        <v>11</v>
      </c>
      <c r="K147" s="7">
        <v>0.34</v>
      </c>
    </row>
    <row r="148" spans="1:11" x14ac:dyDescent="0.2">
      <c r="A148" s="5" t="s">
        <v>83</v>
      </c>
      <c r="B148" s="6">
        <v>7</v>
      </c>
      <c r="C148" s="6">
        <v>7</v>
      </c>
      <c r="D148" s="6">
        <v>7</v>
      </c>
      <c r="E148" s="6">
        <v>7</v>
      </c>
      <c r="F148" s="9" t="s">
        <v>47</v>
      </c>
      <c r="G148" s="8">
        <v>0.6</v>
      </c>
      <c r="H148" s="6">
        <v>0</v>
      </c>
      <c r="I148" s="6">
        <v>0</v>
      </c>
      <c r="J148" s="6">
        <v>0</v>
      </c>
      <c r="K148" s="6">
        <v>0</v>
      </c>
    </row>
    <row r="149" spans="1:11" x14ac:dyDescent="0.2">
      <c r="A149" s="5" t="s">
        <v>216</v>
      </c>
      <c r="B149" s="6">
        <v>1945</v>
      </c>
      <c r="C149" s="6">
        <v>2020</v>
      </c>
      <c r="D149" s="6">
        <v>2121</v>
      </c>
      <c r="E149" s="6">
        <v>2160</v>
      </c>
      <c r="F149" s="6">
        <v>8</v>
      </c>
      <c r="G149" s="7">
        <v>0.38</v>
      </c>
      <c r="H149" s="6">
        <v>20</v>
      </c>
      <c r="I149" s="7">
        <v>0.98</v>
      </c>
      <c r="J149" s="6">
        <v>8</v>
      </c>
      <c r="K149" s="7">
        <v>0.37</v>
      </c>
    </row>
    <row r="150" spans="1:11" x14ac:dyDescent="0.2">
      <c r="A150" s="5" t="s">
        <v>84</v>
      </c>
      <c r="B150" s="6">
        <v>86</v>
      </c>
      <c r="C150" s="6">
        <v>87</v>
      </c>
      <c r="D150" s="6">
        <v>87</v>
      </c>
      <c r="E150" s="6">
        <v>87</v>
      </c>
      <c r="F150" s="9" t="s">
        <v>47</v>
      </c>
      <c r="G150" s="7">
        <v>0.11</v>
      </c>
      <c r="H150" s="6">
        <v>0</v>
      </c>
      <c r="I150" s="6">
        <v>0</v>
      </c>
      <c r="J150" s="6">
        <v>0</v>
      </c>
      <c r="K150" s="6">
        <v>0</v>
      </c>
    </row>
    <row r="151" spans="1:11" x14ac:dyDescent="0.2">
      <c r="A151" s="5" t="s">
        <v>217</v>
      </c>
      <c r="B151" s="9" t="s">
        <v>47</v>
      </c>
      <c r="C151" s="9" t="s">
        <v>47</v>
      </c>
      <c r="D151" s="9" t="s">
        <v>47</v>
      </c>
      <c r="E151" s="9" t="s">
        <v>47</v>
      </c>
      <c r="F151" s="6">
        <v>0</v>
      </c>
      <c r="G151" s="6">
        <v>0</v>
      </c>
      <c r="H151" s="6">
        <v>0</v>
      </c>
      <c r="I151" s="6">
        <v>0</v>
      </c>
      <c r="J151" s="6">
        <v>0</v>
      </c>
      <c r="K151" s="6">
        <v>0</v>
      </c>
    </row>
    <row r="152" spans="1:11" x14ac:dyDescent="0.2">
      <c r="A152" s="5" t="s">
        <v>85</v>
      </c>
      <c r="B152" s="6">
        <v>0</v>
      </c>
      <c r="C152" s="6">
        <v>0</v>
      </c>
      <c r="D152" s="6">
        <v>0</v>
      </c>
      <c r="E152" s="6">
        <v>0</v>
      </c>
      <c r="F152" s="6">
        <v>0</v>
      </c>
      <c r="G152" s="9" t="s">
        <v>45</v>
      </c>
      <c r="H152" s="6">
        <v>0</v>
      </c>
      <c r="I152" s="9" t="s">
        <v>45</v>
      </c>
      <c r="J152" s="6">
        <v>0</v>
      </c>
      <c r="K152" s="9" t="s">
        <v>45</v>
      </c>
    </row>
    <row r="153" spans="1:11" x14ac:dyDescent="0.2">
      <c r="A153" s="5" t="s">
        <v>218</v>
      </c>
      <c r="B153" s="6">
        <v>543</v>
      </c>
      <c r="C153" s="6">
        <v>543</v>
      </c>
      <c r="D153" s="6">
        <v>543</v>
      </c>
      <c r="E153" s="6">
        <v>543</v>
      </c>
      <c r="F153" s="6">
        <v>0</v>
      </c>
      <c r="G153" s="6">
        <v>0</v>
      </c>
      <c r="H153" s="6">
        <v>0</v>
      </c>
      <c r="I153" s="6">
        <v>0</v>
      </c>
      <c r="J153" s="6">
        <v>0</v>
      </c>
      <c r="K153" s="6">
        <v>0</v>
      </c>
    </row>
    <row r="154" spans="1:11" x14ac:dyDescent="0.2">
      <c r="A154" s="5" t="s">
        <v>219</v>
      </c>
      <c r="B154" s="6">
        <v>9130</v>
      </c>
      <c r="C154" s="6">
        <v>9301</v>
      </c>
      <c r="D154" s="6">
        <v>9683</v>
      </c>
      <c r="E154" s="6">
        <v>10065</v>
      </c>
      <c r="F154" s="6">
        <v>17</v>
      </c>
      <c r="G154" s="7">
        <v>0.19</v>
      </c>
      <c r="H154" s="6">
        <v>76</v>
      </c>
      <c r="I154" s="7">
        <v>0.81</v>
      </c>
      <c r="J154" s="6">
        <v>76</v>
      </c>
      <c r="K154" s="7">
        <v>0.78</v>
      </c>
    </row>
    <row r="155" spans="1:11" x14ac:dyDescent="0.2">
      <c r="A155" s="5" t="s">
        <v>220</v>
      </c>
      <c r="B155" s="6">
        <v>345</v>
      </c>
      <c r="C155" s="6">
        <v>360</v>
      </c>
      <c r="D155" s="6">
        <v>365</v>
      </c>
      <c r="E155" s="6">
        <v>365</v>
      </c>
      <c r="F155" s="6">
        <v>2</v>
      </c>
      <c r="G155" s="7">
        <v>0.43</v>
      </c>
      <c r="H155" s="6">
        <v>1</v>
      </c>
      <c r="I155" s="7">
        <v>0.28000000000000003</v>
      </c>
      <c r="J155" s="6">
        <v>0</v>
      </c>
      <c r="K155" s="6">
        <v>0</v>
      </c>
    </row>
    <row r="156" spans="1:11" x14ac:dyDescent="0.2">
      <c r="A156" s="5" t="s">
        <v>221</v>
      </c>
      <c r="B156" s="6">
        <v>8881</v>
      </c>
      <c r="C156" s="6">
        <v>9059</v>
      </c>
      <c r="D156" s="6">
        <v>9200</v>
      </c>
      <c r="E156" s="6">
        <v>9337</v>
      </c>
      <c r="F156" s="6">
        <v>18</v>
      </c>
      <c r="G156" s="8">
        <v>0.2</v>
      </c>
      <c r="H156" s="6">
        <v>28</v>
      </c>
      <c r="I156" s="7">
        <v>0.31</v>
      </c>
      <c r="J156" s="6">
        <v>27</v>
      </c>
      <c r="K156" s="8">
        <v>0.3</v>
      </c>
    </row>
    <row r="157" spans="1:11" x14ac:dyDescent="0.2">
      <c r="A157" s="5" t="s">
        <v>86</v>
      </c>
      <c r="B157" s="6">
        <v>3327</v>
      </c>
      <c r="C157" s="6">
        <v>3420</v>
      </c>
      <c r="D157" s="6">
        <v>3437</v>
      </c>
      <c r="E157" s="6">
        <v>3456</v>
      </c>
      <c r="F157" s="6">
        <v>9</v>
      </c>
      <c r="G157" s="7">
        <v>0.28000000000000003</v>
      </c>
      <c r="H157" s="6">
        <v>3</v>
      </c>
      <c r="I157" s="8">
        <v>0.1</v>
      </c>
      <c r="J157" s="6">
        <v>4</v>
      </c>
      <c r="K157" s="7">
        <v>0.11</v>
      </c>
    </row>
    <row r="158" spans="1:11" x14ac:dyDescent="0.2">
      <c r="A158" s="5" t="s">
        <v>222</v>
      </c>
      <c r="B158" s="6">
        <v>319</v>
      </c>
      <c r="C158" s="6">
        <v>324</v>
      </c>
      <c r="D158" s="6">
        <v>363</v>
      </c>
      <c r="E158" s="6">
        <v>386</v>
      </c>
      <c r="F158" s="6">
        <v>1</v>
      </c>
      <c r="G158" s="7">
        <v>0.16</v>
      </c>
      <c r="H158" s="6">
        <v>8</v>
      </c>
      <c r="I158" s="8">
        <v>2.2999999999999998</v>
      </c>
      <c r="J158" s="6">
        <v>5</v>
      </c>
      <c r="K158" s="7">
        <v>1.24</v>
      </c>
    </row>
    <row r="159" spans="1:11" x14ac:dyDescent="0.2">
      <c r="A159" s="5" t="s">
        <v>223</v>
      </c>
      <c r="B159" s="6">
        <v>2629</v>
      </c>
      <c r="C159" s="6">
        <v>2637</v>
      </c>
      <c r="D159" s="6">
        <v>2647</v>
      </c>
      <c r="E159" s="6">
        <v>2657</v>
      </c>
      <c r="F159" s="6">
        <v>1</v>
      </c>
      <c r="G159" s="7">
        <v>0.03</v>
      </c>
      <c r="H159" s="6">
        <v>2</v>
      </c>
      <c r="I159" s="7">
        <v>0.08</v>
      </c>
      <c r="J159" s="6">
        <v>2</v>
      </c>
      <c r="K159" s="7">
        <v>0.08</v>
      </c>
    </row>
    <row r="160" spans="1:11" x14ac:dyDescent="0.2">
      <c r="A160" s="5" t="s">
        <v>224</v>
      </c>
      <c r="B160" s="6">
        <v>6371</v>
      </c>
      <c r="C160" s="6">
        <v>6366</v>
      </c>
      <c r="D160" s="6">
        <v>6391</v>
      </c>
      <c r="E160" s="6">
        <v>6573</v>
      </c>
      <c r="F160" s="6">
        <v>-1</v>
      </c>
      <c r="G160" s="7">
        <v>-0.01</v>
      </c>
      <c r="H160" s="6">
        <v>5</v>
      </c>
      <c r="I160" s="7">
        <v>0.08</v>
      </c>
      <c r="J160" s="6">
        <v>36</v>
      </c>
      <c r="K160" s="7">
        <v>0.56000000000000005</v>
      </c>
    </row>
    <row r="161" spans="1:11" x14ac:dyDescent="0.2">
      <c r="A161" s="5" t="s">
        <v>225</v>
      </c>
      <c r="B161" s="6">
        <v>2611</v>
      </c>
      <c r="C161" s="6">
        <v>2793</v>
      </c>
      <c r="D161" s="6">
        <v>2845</v>
      </c>
      <c r="E161" s="6">
        <v>2881</v>
      </c>
      <c r="F161" s="6">
        <v>18</v>
      </c>
      <c r="G161" s="7">
        <v>0.68</v>
      </c>
      <c r="H161" s="6">
        <v>10</v>
      </c>
      <c r="I161" s="7">
        <v>0.37</v>
      </c>
      <c r="J161" s="6">
        <v>7</v>
      </c>
      <c r="K161" s="7">
        <v>0.25</v>
      </c>
    </row>
    <row r="162" spans="1:11" x14ac:dyDescent="0.2">
      <c r="A162" s="5" t="s">
        <v>30</v>
      </c>
      <c r="B162" s="6">
        <v>0</v>
      </c>
      <c r="C162" s="6">
        <v>0</v>
      </c>
      <c r="D162" s="6">
        <v>0</v>
      </c>
      <c r="E162" s="6">
        <v>0</v>
      </c>
      <c r="F162" s="6">
        <v>0</v>
      </c>
      <c r="G162" s="9" t="s">
        <v>45</v>
      </c>
      <c r="H162" s="6">
        <v>0</v>
      </c>
      <c r="I162" s="9" t="s">
        <v>45</v>
      </c>
      <c r="J162" s="6">
        <v>0</v>
      </c>
      <c r="K162" s="9" t="s">
        <v>45</v>
      </c>
    </row>
    <row r="163" spans="1:11" x14ac:dyDescent="0.2">
      <c r="A163" s="5" t="s">
        <v>226</v>
      </c>
      <c r="B163" s="6">
        <v>0</v>
      </c>
      <c r="C163" s="6">
        <v>0</v>
      </c>
      <c r="D163" s="6">
        <v>0</v>
      </c>
      <c r="E163" s="6">
        <v>0</v>
      </c>
      <c r="F163" s="6">
        <v>0</v>
      </c>
      <c r="G163" s="9" t="s">
        <v>45</v>
      </c>
      <c r="H163" s="6">
        <v>0</v>
      </c>
      <c r="I163" s="9" t="s">
        <v>45</v>
      </c>
      <c r="J163" s="6">
        <v>0</v>
      </c>
      <c r="K163" s="9" t="s">
        <v>45</v>
      </c>
    </row>
    <row r="164" spans="1:11" x14ac:dyDescent="0.2">
      <c r="A164" s="5" t="s">
        <v>227</v>
      </c>
      <c r="B164" s="6">
        <v>2313</v>
      </c>
      <c r="C164" s="6">
        <v>2460</v>
      </c>
      <c r="D164" s="6">
        <v>2476</v>
      </c>
      <c r="E164" s="6">
        <v>2713</v>
      </c>
      <c r="F164" s="6">
        <v>15</v>
      </c>
      <c r="G164" s="7">
        <v>0.62</v>
      </c>
      <c r="H164" s="6">
        <v>3</v>
      </c>
      <c r="I164" s="7">
        <v>0.13</v>
      </c>
      <c r="J164" s="6">
        <v>47</v>
      </c>
      <c r="K164" s="7">
        <v>1.85</v>
      </c>
    </row>
    <row r="165" spans="1:11" x14ac:dyDescent="0.2">
      <c r="A165" s="5" t="s">
        <v>228</v>
      </c>
      <c r="B165" s="6">
        <v>1922</v>
      </c>
      <c r="C165" s="6">
        <v>1921</v>
      </c>
      <c r="D165" s="6">
        <v>1932</v>
      </c>
      <c r="E165" s="6">
        <v>1933</v>
      </c>
      <c r="F165" s="9" t="s">
        <v>47</v>
      </c>
      <c r="G165" s="7">
        <v>-0.01</v>
      </c>
      <c r="H165" s="6">
        <v>2</v>
      </c>
      <c r="I165" s="7">
        <v>0.11</v>
      </c>
      <c r="J165" s="9" t="s">
        <v>47</v>
      </c>
      <c r="K165" s="7">
        <v>0.01</v>
      </c>
    </row>
    <row r="166" spans="1:11" x14ac:dyDescent="0.2">
      <c r="A166" s="5" t="s">
        <v>229</v>
      </c>
      <c r="B166" s="6">
        <v>1188</v>
      </c>
      <c r="C166" s="6">
        <v>1233</v>
      </c>
      <c r="D166" s="6">
        <v>1243</v>
      </c>
      <c r="E166" s="6">
        <v>1253</v>
      </c>
      <c r="F166" s="6">
        <v>5</v>
      </c>
      <c r="G166" s="7">
        <v>0.37</v>
      </c>
      <c r="H166" s="6">
        <v>2</v>
      </c>
      <c r="I166" s="7">
        <v>0.16</v>
      </c>
      <c r="J166" s="6">
        <v>2</v>
      </c>
      <c r="K166" s="7">
        <v>0.16</v>
      </c>
    </row>
    <row r="167" spans="1:11" x14ac:dyDescent="0.2">
      <c r="A167" s="5" t="s">
        <v>230</v>
      </c>
      <c r="B167" s="6">
        <v>27281</v>
      </c>
      <c r="C167" s="6">
        <v>27389</v>
      </c>
      <c r="D167" s="6">
        <v>28203</v>
      </c>
      <c r="E167" s="6">
        <v>28203</v>
      </c>
      <c r="F167" s="6">
        <v>11</v>
      </c>
      <c r="G167" s="7">
        <v>0.04</v>
      </c>
      <c r="H167" s="6">
        <v>163</v>
      </c>
      <c r="I167" s="7">
        <v>0.59</v>
      </c>
      <c r="J167" s="6">
        <v>0</v>
      </c>
      <c r="K167" s="6">
        <v>0</v>
      </c>
    </row>
    <row r="168" spans="1:11" x14ac:dyDescent="0.2">
      <c r="A168" s="5" t="s">
        <v>231</v>
      </c>
      <c r="B168" s="6">
        <v>1151</v>
      </c>
      <c r="C168" s="6">
        <v>1194</v>
      </c>
      <c r="D168" s="6">
        <v>1217</v>
      </c>
      <c r="E168" s="6">
        <v>1240</v>
      </c>
      <c r="F168" s="6">
        <v>4</v>
      </c>
      <c r="G168" s="7">
        <v>0.37</v>
      </c>
      <c r="H168" s="6">
        <v>5</v>
      </c>
      <c r="I168" s="7">
        <v>0.38</v>
      </c>
      <c r="J168" s="6">
        <v>5</v>
      </c>
      <c r="K168" s="7">
        <v>0.38</v>
      </c>
    </row>
    <row r="169" spans="1:11" x14ac:dyDescent="0.2">
      <c r="A169" s="5" t="s">
        <v>87</v>
      </c>
      <c r="B169" s="6">
        <v>9274</v>
      </c>
      <c r="C169" s="6">
        <v>9510</v>
      </c>
      <c r="D169" s="6">
        <v>9575</v>
      </c>
      <c r="E169" s="6">
        <v>9705</v>
      </c>
      <c r="F169" s="6">
        <v>24</v>
      </c>
      <c r="G169" s="7">
        <v>0.25</v>
      </c>
      <c r="H169" s="6">
        <v>13</v>
      </c>
      <c r="I169" s="7">
        <v>0.14000000000000001</v>
      </c>
      <c r="J169" s="6">
        <v>26</v>
      </c>
      <c r="K169" s="7">
        <v>0.27</v>
      </c>
    </row>
    <row r="170" spans="1:11" x14ac:dyDescent="0.2">
      <c r="A170" s="10" t="s">
        <v>88</v>
      </c>
      <c r="B170" s="11">
        <v>989471</v>
      </c>
      <c r="C170" s="11">
        <v>998239</v>
      </c>
      <c r="D170" s="11">
        <v>1001150</v>
      </c>
      <c r="E170" s="11">
        <v>1005001</v>
      </c>
      <c r="F170" s="11">
        <v>877</v>
      </c>
      <c r="G170" s="12">
        <v>0.09</v>
      </c>
      <c r="H170" s="11">
        <v>582</v>
      </c>
      <c r="I170" s="12">
        <v>0.06</v>
      </c>
      <c r="J170" s="11">
        <v>770</v>
      </c>
      <c r="K170" s="12">
        <v>0.08</v>
      </c>
    </row>
    <row r="171" spans="1:11" x14ac:dyDescent="0.2">
      <c r="A171" s="5" t="s">
        <v>89</v>
      </c>
      <c r="B171" s="6">
        <v>6</v>
      </c>
      <c r="C171" s="6">
        <v>6</v>
      </c>
      <c r="D171" s="6">
        <v>6</v>
      </c>
      <c r="E171" s="6">
        <v>6</v>
      </c>
      <c r="F171" s="6">
        <v>0</v>
      </c>
      <c r="G171" s="6">
        <v>0</v>
      </c>
      <c r="H171" s="6">
        <v>0</v>
      </c>
      <c r="I171" s="6">
        <v>0</v>
      </c>
      <c r="J171" s="6">
        <v>0</v>
      </c>
      <c r="K171" s="6">
        <v>0</v>
      </c>
    </row>
    <row r="172" spans="1:11" x14ac:dyDescent="0.2">
      <c r="A172" s="5" t="s">
        <v>39</v>
      </c>
      <c r="B172" s="6">
        <v>10</v>
      </c>
      <c r="C172" s="6">
        <v>10</v>
      </c>
      <c r="D172" s="6">
        <v>10</v>
      </c>
      <c r="E172" s="6">
        <v>10</v>
      </c>
      <c r="F172" s="9" t="s">
        <v>47</v>
      </c>
      <c r="G172" s="8">
        <v>-0.3</v>
      </c>
      <c r="H172" s="9" t="s">
        <v>47</v>
      </c>
      <c r="I172" s="8">
        <v>-0.4</v>
      </c>
      <c r="J172" s="6">
        <v>0</v>
      </c>
      <c r="K172" s="6">
        <v>0</v>
      </c>
    </row>
    <row r="173" spans="1:11" x14ac:dyDescent="0.2">
      <c r="A173" s="5" t="s">
        <v>232</v>
      </c>
      <c r="B173" s="6">
        <v>1</v>
      </c>
      <c r="C173" s="6">
        <v>1</v>
      </c>
      <c r="D173" s="6">
        <v>1</v>
      </c>
      <c r="E173" s="6">
        <v>1</v>
      </c>
      <c r="F173" s="6">
        <v>0</v>
      </c>
      <c r="G173" s="6">
        <v>0</v>
      </c>
      <c r="H173" s="6">
        <v>0</v>
      </c>
      <c r="I173" s="6">
        <v>0</v>
      </c>
      <c r="J173" s="6">
        <v>0</v>
      </c>
      <c r="K173" s="6">
        <v>0</v>
      </c>
    </row>
    <row r="174" spans="1:11" x14ac:dyDescent="0.2">
      <c r="A174" s="5" t="s">
        <v>90</v>
      </c>
      <c r="B174" s="9" t="s">
        <v>47</v>
      </c>
      <c r="C174" s="9" t="s">
        <v>47</v>
      </c>
      <c r="D174" s="9" t="s">
        <v>47</v>
      </c>
      <c r="E174" s="9" t="s">
        <v>47</v>
      </c>
      <c r="F174" s="6">
        <v>0</v>
      </c>
      <c r="G174" s="6">
        <v>0</v>
      </c>
      <c r="H174" s="6">
        <v>0</v>
      </c>
      <c r="I174" s="6">
        <v>0</v>
      </c>
      <c r="J174" s="6">
        <v>0</v>
      </c>
      <c r="K174" s="6">
        <v>0</v>
      </c>
    </row>
    <row r="175" spans="1:11" x14ac:dyDescent="0.2">
      <c r="A175" s="5" t="s">
        <v>91</v>
      </c>
      <c r="B175" s="6">
        <v>515</v>
      </c>
      <c r="C175" s="6">
        <v>515</v>
      </c>
      <c r="D175" s="6">
        <v>515</v>
      </c>
      <c r="E175" s="6">
        <v>515</v>
      </c>
      <c r="F175" s="6">
        <v>0</v>
      </c>
      <c r="G175" s="6">
        <v>0</v>
      </c>
      <c r="H175" s="6">
        <v>0</v>
      </c>
      <c r="I175" s="6">
        <v>0</v>
      </c>
      <c r="J175" s="6">
        <v>0</v>
      </c>
      <c r="K175" s="6">
        <v>0</v>
      </c>
    </row>
    <row r="176" spans="1:11" x14ac:dyDescent="0.2">
      <c r="A176" s="5" t="s">
        <v>233</v>
      </c>
      <c r="B176" s="6">
        <v>8</v>
      </c>
      <c r="C176" s="6">
        <v>8</v>
      </c>
      <c r="D176" s="6">
        <v>8</v>
      </c>
      <c r="E176" s="6">
        <v>8</v>
      </c>
      <c r="F176" s="6">
        <v>0</v>
      </c>
      <c r="G176" s="6">
        <v>0</v>
      </c>
      <c r="H176" s="6">
        <v>0</v>
      </c>
      <c r="I176" s="6">
        <v>0</v>
      </c>
      <c r="J176" s="6">
        <v>0</v>
      </c>
      <c r="K176" s="6">
        <v>0</v>
      </c>
    </row>
    <row r="177" spans="1:11" x14ac:dyDescent="0.2">
      <c r="A177" s="5" t="s">
        <v>234</v>
      </c>
      <c r="B177" s="6">
        <v>1</v>
      </c>
      <c r="C177" s="6">
        <v>1</v>
      </c>
      <c r="D177" s="6">
        <v>1</v>
      </c>
      <c r="E177" s="6">
        <v>1</v>
      </c>
      <c r="F177" s="6">
        <v>0</v>
      </c>
      <c r="G177" s="6">
        <v>0</v>
      </c>
      <c r="H177" s="6">
        <v>0</v>
      </c>
      <c r="I177" s="6">
        <v>0</v>
      </c>
      <c r="J177" s="6">
        <v>0</v>
      </c>
      <c r="K177" s="6">
        <v>0</v>
      </c>
    </row>
    <row r="178" spans="1:11" x14ac:dyDescent="0.2">
      <c r="A178" s="5" t="s">
        <v>92</v>
      </c>
      <c r="B178" s="6">
        <v>2058</v>
      </c>
      <c r="C178" s="6">
        <v>2435</v>
      </c>
      <c r="D178" s="6">
        <v>2697</v>
      </c>
      <c r="E178" s="6">
        <v>2870</v>
      </c>
      <c r="F178" s="6">
        <v>38</v>
      </c>
      <c r="G178" s="8">
        <v>1.7</v>
      </c>
      <c r="H178" s="6">
        <v>52</v>
      </c>
      <c r="I178" s="7">
        <v>2.06</v>
      </c>
      <c r="J178" s="6">
        <v>35</v>
      </c>
      <c r="K178" s="7">
        <v>1.25</v>
      </c>
    </row>
    <row r="179" spans="1:11" x14ac:dyDescent="0.2">
      <c r="A179" s="5" t="s">
        <v>235</v>
      </c>
      <c r="B179" s="6">
        <v>50</v>
      </c>
      <c r="C179" s="6">
        <v>47</v>
      </c>
      <c r="D179" s="6">
        <v>46</v>
      </c>
      <c r="E179" s="6">
        <v>45</v>
      </c>
      <c r="F179" s="9" t="s">
        <v>47</v>
      </c>
      <c r="G179" s="7">
        <v>-0.55000000000000004</v>
      </c>
      <c r="H179" s="9" t="s">
        <v>47</v>
      </c>
      <c r="I179" s="7">
        <v>-0.56999999999999995</v>
      </c>
      <c r="J179" s="9" t="s">
        <v>47</v>
      </c>
      <c r="K179" s="7">
        <v>-0.59</v>
      </c>
    </row>
    <row r="180" spans="1:11" x14ac:dyDescent="0.2">
      <c r="A180" s="5" t="s">
        <v>236</v>
      </c>
      <c r="B180" s="6">
        <v>17</v>
      </c>
      <c r="C180" s="6">
        <v>17</v>
      </c>
      <c r="D180" s="6">
        <v>17</v>
      </c>
      <c r="E180" s="6">
        <v>17</v>
      </c>
      <c r="F180" s="6">
        <v>0</v>
      </c>
      <c r="G180" s="6">
        <v>0</v>
      </c>
      <c r="H180" s="6">
        <v>0</v>
      </c>
      <c r="I180" s="6">
        <v>0</v>
      </c>
      <c r="J180" s="6">
        <v>0</v>
      </c>
      <c r="K180" s="6">
        <v>0</v>
      </c>
    </row>
    <row r="181" spans="1:11" x14ac:dyDescent="0.2">
      <c r="A181" s="5" t="s">
        <v>93</v>
      </c>
      <c r="B181" s="6">
        <v>67</v>
      </c>
      <c r="C181" s="6">
        <v>65</v>
      </c>
      <c r="D181" s="6">
        <v>64</v>
      </c>
      <c r="E181" s="6">
        <v>64</v>
      </c>
      <c r="F181" s="9" t="s">
        <v>47</v>
      </c>
      <c r="G181" s="8">
        <v>-0.3</v>
      </c>
      <c r="H181" s="9" t="s">
        <v>47</v>
      </c>
      <c r="I181" s="7">
        <v>-0.31</v>
      </c>
      <c r="J181" s="9" t="s">
        <v>47</v>
      </c>
      <c r="K181" s="7">
        <v>-0.28000000000000003</v>
      </c>
    </row>
    <row r="182" spans="1:11" x14ac:dyDescent="0.2">
      <c r="A182" s="5" t="s">
        <v>237</v>
      </c>
      <c r="B182" s="6">
        <v>116</v>
      </c>
      <c r="C182" s="6">
        <v>109</v>
      </c>
      <c r="D182" s="6">
        <v>105</v>
      </c>
      <c r="E182" s="6">
        <v>101</v>
      </c>
      <c r="F182" s="6">
        <v>-1</v>
      </c>
      <c r="G182" s="7">
        <v>-0.62</v>
      </c>
      <c r="H182" s="6">
        <v>-1</v>
      </c>
      <c r="I182" s="7">
        <v>-0.74</v>
      </c>
      <c r="J182" s="6">
        <v>-1</v>
      </c>
      <c r="K182" s="7">
        <v>-0.77</v>
      </c>
    </row>
    <row r="183" spans="1:11" x14ac:dyDescent="0.2">
      <c r="A183" s="5" t="s">
        <v>238</v>
      </c>
      <c r="B183" s="6">
        <v>13</v>
      </c>
      <c r="C183" s="6">
        <v>13</v>
      </c>
      <c r="D183" s="6">
        <v>13</v>
      </c>
      <c r="E183" s="6">
        <v>13</v>
      </c>
      <c r="F183" s="6">
        <v>0</v>
      </c>
      <c r="G183" s="6">
        <v>0</v>
      </c>
      <c r="H183" s="6">
        <v>0</v>
      </c>
      <c r="I183" s="6">
        <v>0</v>
      </c>
      <c r="J183" s="6">
        <v>0</v>
      </c>
      <c r="K183" s="6">
        <v>0</v>
      </c>
    </row>
    <row r="184" spans="1:11" x14ac:dyDescent="0.2">
      <c r="A184" s="5" t="s">
        <v>239</v>
      </c>
      <c r="B184" s="6">
        <v>34</v>
      </c>
      <c r="C184" s="6">
        <v>34</v>
      </c>
      <c r="D184" s="6">
        <v>34</v>
      </c>
      <c r="E184" s="6">
        <v>34</v>
      </c>
      <c r="F184" s="6">
        <v>0</v>
      </c>
      <c r="G184" s="6">
        <v>0</v>
      </c>
      <c r="H184" s="6">
        <v>0</v>
      </c>
      <c r="I184" s="6">
        <v>0</v>
      </c>
      <c r="J184" s="6">
        <v>0</v>
      </c>
      <c r="K184" s="6">
        <v>0</v>
      </c>
    </row>
    <row r="185" spans="1:11" x14ac:dyDescent="0.2">
      <c r="A185" s="5" t="s">
        <v>240</v>
      </c>
      <c r="B185" s="6">
        <v>24</v>
      </c>
      <c r="C185" s="6">
        <v>22</v>
      </c>
      <c r="D185" s="6">
        <v>21</v>
      </c>
      <c r="E185" s="6">
        <v>20</v>
      </c>
      <c r="F185" s="9" t="s">
        <v>47</v>
      </c>
      <c r="G185" s="7">
        <v>-0.73</v>
      </c>
      <c r="H185" s="9" t="s">
        <v>47</v>
      </c>
      <c r="I185" s="7">
        <v>-0.78</v>
      </c>
      <c r="J185" s="9" t="s">
        <v>47</v>
      </c>
      <c r="K185" s="7">
        <v>-0.81</v>
      </c>
    </row>
    <row r="186" spans="1:11" x14ac:dyDescent="0.2">
      <c r="A186" s="5" t="s">
        <v>241</v>
      </c>
      <c r="B186" s="6">
        <v>4</v>
      </c>
      <c r="C186" s="6">
        <v>4</v>
      </c>
      <c r="D186" s="6">
        <v>4</v>
      </c>
      <c r="E186" s="6">
        <v>4</v>
      </c>
      <c r="F186" s="9" t="s">
        <v>47</v>
      </c>
      <c r="G186" s="7">
        <v>-0.11</v>
      </c>
      <c r="H186" s="9" t="s">
        <v>47</v>
      </c>
      <c r="I186" s="7">
        <v>-0.05</v>
      </c>
      <c r="J186" s="9" t="s">
        <v>47</v>
      </c>
      <c r="K186" s="7">
        <v>-0.11</v>
      </c>
    </row>
    <row r="187" spans="1:11" x14ac:dyDescent="0.2">
      <c r="A187" s="5" t="s">
        <v>242</v>
      </c>
      <c r="B187" s="6">
        <v>345</v>
      </c>
      <c r="C187" s="6">
        <v>341</v>
      </c>
      <c r="D187" s="6">
        <v>339</v>
      </c>
      <c r="E187" s="6">
        <v>337</v>
      </c>
      <c r="F187" s="9" t="s">
        <v>47</v>
      </c>
      <c r="G187" s="7">
        <v>-0.11</v>
      </c>
      <c r="H187" s="9" t="s">
        <v>47</v>
      </c>
      <c r="I187" s="8">
        <v>-0.1</v>
      </c>
      <c r="J187" s="9" t="s">
        <v>47</v>
      </c>
      <c r="K187" s="7">
        <v>-0.12</v>
      </c>
    </row>
    <row r="188" spans="1:11" x14ac:dyDescent="0.2">
      <c r="A188" s="5" t="s">
        <v>94</v>
      </c>
      <c r="B188" s="6">
        <v>49</v>
      </c>
      <c r="C188" s="6">
        <v>49</v>
      </c>
      <c r="D188" s="6">
        <v>49</v>
      </c>
      <c r="E188" s="6">
        <v>49</v>
      </c>
      <c r="F188" s="6">
        <v>0</v>
      </c>
      <c r="G188" s="6">
        <v>0</v>
      </c>
      <c r="H188" s="6">
        <v>0</v>
      </c>
      <c r="I188" s="6">
        <v>0</v>
      </c>
      <c r="J188" s="6">
        <v>0</v>
      </c>
      <c r="K188" s="6">
        <v>0</v>
      </c>
    </row>
    <row r="189" spans="1:11" x14ac:dyDescent="0.2">
      <c r="A189" s="5" t="s">
        <v>95</v>
      </c>
      <c r="B189" s="6">
        <v>4</v>
      </c>
      <c r="C189" s="6">
        <v>3</v>
      </c>
      <c r="D189" s="6">
        <v>3</v>
      </c>
      <c r="E189" s="6">
        <v>3</v>
      </c>
      <c r="F189" s="9" t="s">
        <v>47</v>
      </c>
      <c r="G189" s="7">
        <v>-3.31</v>
      </c>
      <c r="H189" s="6">
        <v>0</v>
      </c>
      <c r="I189" s="6">
        <v>0</v>
      </c>
      <c r="J189" s="6">
        <v>0</v>
      </c>
      <c r="K189" s="6">
        <v>0</v>
      </c>
    </row>
    <row r="190" spans="1:11" x14ac:dyDescent="0.2">
      <c r="A190" s="5" t="s">
        <v>243</v>
      </c>
      <c r="B190" s="6">
        <v>287</v>
      </c>
      <c r="C190" s="6">
        <v>464</v>
      </c>
      <c r="D190" s="6">
        <v>508</v>
      </c>
      <c r="E190" s="6">
        <v>552</v>
      </c>
      <c r="F190" s="6">
        <v>18</v>
      </c>
      <c r="G190" s="7">
        <v>4.92</v>
      </c>
      <c r="H190" s="6">
        <v>9</v>
      </c>
      <c r="I190" s="7">
        <v>1.83</v>
      </c>
      <c r="J190" s="6">
        <v>9</v>
      </c>
      <c r="K190" s="7">
        <v>1.68</v>
      </c>
    </row>
    <row r="191" spans="1:11" x14ac:dyDescent="0.2">
      <c r="A191" s="5" t="s">
        <v>244</v>
      </c>
      <c r="B191" s="6">
        <v>1972</v>
      </c>
      <c r="C191" s="6">
        <v>1972</v>
      </c>
      <c r="D191" s="6">
        <v>1972</v>
      </c>
      <c r="E191" s="6">
        <v>1972</v>
      </c>
      <c r="F191" s="6">
        <v>0</v>
      </c>
      <c r="G191" s="6">
        <v>0</v>
      </c>
      <c r="H191" s="6">
        <v>0</v>
      </c>
      <c r="I191" s="6">
        <v>0</v>
      </c>
      <c r="J191" s="6">
        <v>0</v>
      </c>
      <c r="K191" s="6">
        <v>0</v>
      </c>
    </row>
    <row r="192" spans="1:11" x14ac:dyDescent="0.2">
      <c r="A192" s="5" t="s">
        <v>245</v>
      </c>
      <c r="B192" s="9" t="s">
        <v>246</v>
      </c>
      <c r="C192" s="6">
        <v>0</v>
      </c>
      <c r="D192" s="6">
        <v>0</v>
      </c>
      <c r="E192" s="6">
        <v>0</v>
      </c>
      <c r="F192" s="6">
        <v>0</v>
      </c>
      <c r="G192" s="9" t="s">
        <v>45</v>
      </c>
      <c r="H192" s="6">
        <v>0</v>
      </c>
      <c r="I192" s="9" t="s">
        <v>45</v>
      </c>
      <c r="J192" s="6">
        <v>0</v>
      </c>
      <c r="K192" s="9" t="s">
        <v>45</v>
      </c>
    </row>
    <row r="193" spans="1:11" x14ac:dyDescent="0.2">
      <c r="A193" s="5" t="s">
        <v>29</v>
      </c>
      <c r="B193" s="6">
        <v>44</v>
      </c>
      <c r="C193" s="6">
        <v>47</v>
      </c>
      <c r="D193" s="6">
        <v>47</v>
      </c>
      <c r="E193" s="6">
        <v>47</v>
      </c>
      <c r="F193" s="9" t="s">
        <v>47</v>
      </c>
      <c r="G193" s="7">
        <v>0.64</v>
      </c>
      <c r="H193" s="9" t="s">
        <v>47</v>
      </c>
      <c r="I193" s="7">
        <v>0.13</v>
      </c>
      <c r="J193" s="6">
        <v>0</v>
      </c>
      <c r="K193" s="6">
        <v>0</v>
      </c>
    </row>
    <row r="194" spans="1:11" x14ac:dyDescent="0.2">
      <c r="A194" s="5" t="s">
        <v>247</v>
      </c>
      <c r="B194" s="6">
        <v>11</v>
      </c>
      <c r="C194" s="6">
        <v>11</v>
      </c>
      <c r="D194" s="6">
        <v>11</v>
      </c>
      <c r="E194" s="6">
        <v>11</v>
      </c>
      <c r="F194" s="6">
        <v>0</v>
      </c>
      <c r="G194" s="6">
        <v>0</v>
      </c>
      <c r="H194" s="6">
        <v>0</v>
      </c>
      <c r="I194" s="6">
        <v>0</v>
      </c>
      <c r="J194" s="6">
        <v>0</v>
      </c>
      <c r="K194" s="6">
        <v>0</v>
      </c>
    </row>
    <row r="195" spans="1:11" x14ac:dyDescent="0.2">
      <c r="A195" s="5" t="s">
        <v>248</v>
      </c>
      <c r="B195" s="6">
        <v>1</v>
      </c>
      <c r="C195" s="6">
        <v>1</v>
      </c>
      <c r="D195" s="6">
        <v>1</v>
      </c>
      <c r="E195" s="6">
        <v>1</v>
      </c>
      <c r="F195" s="6">
        <v>0</v>
      </c>
      <c r="G195" s="6">
        <v>0</v>
      </c>
      <c r="H195" s="6">
        <v>0</v>
      </c>
      <c r="I195" s="6">
        <v>0</v>
      </c>
      <c r="J195" s="6">
        <v>0</v>
      </c>
      <c r="K195" s="6">
        <v>0</v>
      </c>
    </row>
    <row r="196" spans="1:11" x14ac:dyDescent="0.2">
      <c r="A196" s="5" t="s">
        <v>249</v>
      </c>
      <c r="B196" s="6">
        <v>25</v>
      </c>
      <c r="C196" s="6">
        <v>26</v>
      </c>
      <c r="D196" s="6">
        <v>26</v>
      </c>
      <c r="E196" s="6">
        <v>27</v>
      </c>
      <c r="F196" s="9" t="s">
        <v>47</v>
      </c>
      <c r="G196" s="7">
        <v>0.27</v>
      </c>
      <c r="H196" s="9" t="s">
        <v>47</v>
      </c>
      <c r="I196" s="7">
        <v>0.23</v>
      </c>
      <c r="J196" s="9" t="s">
        <v>47</v>
      </c>
      <c r="K196" s="8">
        <v>0.3</v>
      </c>
    </row>
    <row r="197" spans="1:11" x14ac:dyDescent="0.2">
      <c r="A197" s="5" t="s">
        <v>250</v>
      </c>
      <c r="B197" s="6">
        <v>241</v>
      </c>
      <c r="C197" s="6">
        <v>234</v>
      </c>
      <c r="D197" s="6">
        <v>230</v>
      </c>
      <c r="E197" s="6">
        <v>226</v>
      </c>
      <c r="F197" s="6">
        <v>-1</v>
      </c>
      <c r="G197" s="8">
        <v>-0.3</v>
      </c>
      <c r="H197" s="6">
        <v>-1</v>
      </c>
      <c r="I197" s="7">
        <v>-0.31</v>
      </c>
      <c r="J197" s="6">
        <v>-1</v>
      </c>
      <c r="K197" s="7">
        <v>-0.32</v>
      </c>
    </row>
    <row r="198" spans="1:11" x14ac:dyDescent="0.2">
      <c r="A198" s="10" t="s">
        <v>251</v>
      </c>
      <c r="B198" s="11">
        <v>5902</v>
      </c>
      <c r="C198" s="11">
        <v>6434</v>
      </c>
      <c r="D198" s="11">
        <v>6728</v>
      </c>
      <c r="E198" s="11">
        <v>6933</v>
      </c>
      <c r="F198" s="11">
        <v>53</v>
      </c>
      <c r="G198" s="12">
        <v>0.87</v>
      </c>
      <c r="H198" s="11">
        <v>59</v>
      </c>
      <c r="I198" s="15">
        <v>0.9</v>
      </c>
      <c r="J198" s="11">
        <v>41</v>
      </c>
      <c r="K198" s="15">
        <v>0.6</v>
      </c>
    </row>
    <row r="199" spans="1:11" x14ac:dyDescent="0.2">
      <c r="A199" s="5" t="s">
        <v>96</v>
      </c>
      <c r="B199" s="6">
        <v>1586</v>
      </c>
      <c r="C199" s="6">
        <v>1489</v>
      </c>
      <c r="D199" s="6">
        <v>1441</v>
      </c>
      <c r="E199" s="6">
        <v>1393</v>
      </c>
      <c r="F199" s="6">
        <v>-10</v>
      </c>
      <c r="G199" s="7">
        <v>-0.63</v>
      </c>
      <c r="H199" s="6">
        <v>-10</v>
      </c>
      <c r="I199" s="7">
        <v>-0.65</v>
      </c>
      <c r="J199" s="6">
        <v>-10</v>
      </c>
      <c r="K199" s="7">
        <v>-0.68</v>
      </c>
    </row>
    <row r="200" spans="1:11" x14ac:dyDescent="0.2">
      <c r="A200" s="5" t="s">
        <v>97</v>
      </c>
      <c r="B200" s="6">
        <v>2564</v>
      </c>
      <c r="C200" s="6">
        <v>2376</v>
      </c>
      <c r="D200" s="6">
        <v>2491</v>
      </c>
      <c r="E200" s="6">
        <v>2605</v>
      </c>
      <c r="F200" s="6">
        <v>-19</v>
      </c>
      <c r="G200" s="7">
        <v>-0.76</v>
      </c>
      <c r="H200" s="6">
        <v>23</v>
      </c>
      <c r="I200" s="7">
        <v>0.95</v>
      </c>
      <c r="J200" s="6">
        <v>23</v>
      </c>
      <c r="K200" s="8">
        <v>0.9</v>
      </c>
    </row>
    <row r="201" spans="1:11" x14ac:dyDescent="0.2">
      <c r="A201" s="5" t="s">
        <v>98</v>
      </c>
      <c r="B201" s="6">
        <v>377</v>
      </c>
      <c r="C201" s="6">
        <v>332</v>
      </c>
      <c r="D201" s="6">
        <v>309</v>
      </c>
      <c r="E201" s="6">
        <v>287</v>
      </c>
      <c r="F201" s="6">
        <v>-5</v>
      </c>
      <c r="G201" s="7">
        <v>-1.26</v>
      </c>
      <c r="H201" s="6">
        <v>-5</v>
      </c>
      <c r="I201" s="7">
        <v>-1.43</v>
      </c>
      <c r="J201" s="6">
        <v>-4</v>
      </c>
      <c r="K201" s="7">
        <v>-1.47</v>
      </c>
    </row>
    <row r="202" spans="1:11" x14ac:dyDescent="0.2">
      <c r="A202" s="5" t="s">
        <v>99</v>
      </c>
      <c r="B202" s="6">
        <v>4748</v>
      </c>
      <c r="C202" s="6">
        <v>4208</v>
      </c>
      <c r="D202" s="6">
        <v>3938</v>
      </c>
      <c r="E202" s="6">
        <v>3657</v>
      </c>
      <c r="F202" s="6">
        <v>-54</v>
      </c>
      <c r="G202" s="8">
        <v>-1.2</v>
      </c>
      <c r="H202" s="6">
        <v>-54</v>
      </c>
      <c r="I202" s="7">
        <v>-1.32</v>
      </c>
      <c r="J202" s="6">
        <v>-56</v>
      </c>
      <c r="K202" s="7">
        <v>-1.47</v>
      </c>
    </row>
    <row r="203" spans="1:11" x14ac:dyDescent="0.2">
      <c r="A203" s="5" t="s">
        <v>100</v>
      </c>
      <c r="B203" s="6">
        <v>8136</v>
      </c>
      <c r="C203" s="6">
        <v>6392</v>
      </c>
      <c r="D203" s="6">
        <v>5792</v>
      </c>
      <c r="E203" s="6">
        <v>5192</v>
      </c>
      <c r="F203" s="6">
        <v>-174</v>
      </c>
      <c r="G203" s="7">
        <v>-2.38</v>
      </c>
      <c r="H203" s="6">
        <v>-120</v>
      </c>
      <c r="I203" s="7">
        <v>-1.95</v>
      </c>
      <c r="J203" s="6">
        <v>-120</v>
      </c>
      <c r="K203" s="7">
        <v>-2.16</v>
      </c>
    </row>
    <row r="204" spans="1:11" x14ac:dyDescent="0.2">
      <c r="A204" s="5" t="s">
        <v>101</v>
      </c>
      <c r="B204" s="6">
        <v>4514</v>
      </c>
      <c r="C204" s="6">
        <v>3814</v>
      </c>
      <c r="D204" s="6">
        <v>3464</v>
      </c>
      <c r="E204" s="6">
        <v>3114</v>
      </c>
      <c r="F204" s="6">
        <v>-70</v>
      </c>
      <c r="G204" s="7">
        <v>-1.67</v>
      </c>
      <c r="H204" s="6">
        <v>-70</v>
      </c>
      <c r="I204" s="7">
        <v>-1.91</v>
      </c>
      <c r="J204" s="6">
        <v>-70</v>
      </c>
      <c r="K204" s="7">
        <v>-2.11</v>
      </c>
    </row>
    <row r="205" spans="1:11" x14ac:dyDescent="0.2">
      <c r="A205" s="5" t="s">
        <v>102</v>
      </c>
      <c r="B205" s="6">
        <v>3792</v>
      </c>
      <c r="C205" s="6">
        <v>3369</v>
      </c>
      <c r="D205" s="6">
        <v>3310</v>
      </c>
      <c r="E205" s="6">
        <v>3251</v>
      </c>
      <c r="F205" s="6">
        <v>-42</v>
      </c>
      <c r="G205" s="7">
        <v>-1.18</v>
      </c>
      <c r="H205" s="6">
        <v>-12</v>
      </c>
      <c r="I205" s="7">
        <v>-0.35</v>
      </c>
      <c r="J205" s="6">
        <v>-12</v>
      </c>
      <c r="K205" s="7">
        <v>-0.36</v>
      </c>
    </row>
    <row r="206" spans="1:11" x14ac:dyDescent="0.2">
      <c r="A206" s="10" t="s">
        <v>252</v>
      </c>
      <c r="B206" s="11">
        <v>25717</v>
      </c>
      <c r="C206" s="11">
        <v>21980</v>
      </c>
      <c r="D206" s="11">
        <v>20745</v>
      </c>
      <c r="E206" s="11">
        <v>19499</v>
      </c>
      <c r="F206" s="11">
        <v>-374</v>
      </c>
      <c r="G206" s="12">
        <v>-1.56</v>
      </c>
      <c r="H206" s="11">
        <v>-247</v>
      </c>
      <c r="I206" s="12">
        <v>-1.1499999999999999</v>
      </c>
      <c r="J206" s="11">
        <v>-249</v>
      </c>
      <c r="K206" s="12">
        <v>-1.23</v>
      </c>
    </row>
    <row r="207" spans="1:11" x14ac:dyDescent="0.2">
      <c r="A207" s="5" t="s">
        <v>103</v>
      </c>
      <c r="B207" s="6">
        <v>310134</v>
      </c>
      <c r="C207" s="6">
        <v>310134</v>
      </c>
      <c r="D207" s="6">
        <v>310134</v>
      </c>
      <c r="E207" s="6">
        <v>310134</v>
      </c>
      <c r="F207" s="6">
        <v>0</v>
      </c>
      <c r="G207" s="6">
        <v>0</v>
      </c>
      <c r="H207" s="6">
        <v>0</v>
      </c>
      <c r="I207" s="6">
        <v>0</v>
      </c>
      <c r="J207" s="6">
        <v>0</v>
      </c>
      <c r="K207" s="6">
        <v>0</v>
      </c>
    </row>
    <row r="208" spans="1:11" x14ac:dyDescent="0.2">
      <c r="A208" s="5" t="s">
        <v>253</v>
      </c>
      <c r="B208" s="6">
        <v>296335</v>
      </c>
      <c r="C208" s="6">
        <v>300195</v>
      </c>
      <c r="D208" s="6">
        <v>302108</v>
      </c>
      <c r="E208" s="6">
        <v>304022</v>
      </c>
      <c r="F208" s="6">
        <v>386</v>
      </c>
      <c r="G208" s="7">
        <v>0.13</v>
      </c>
      <c r="H208" s="6">
        <v>383</v>
      </c>
      <c r="I208" s="7">
        <v>0.13</v>
      </c>
      <c r="J208" s="6">
        <v>383</v>
      </c>
      <c r="K208" s="7">
        <v>0.13</v>
      </c>
    </row>
    <row r="209" spans="1:11" x14ac:dyDescent="0.2">
      <c r="A209" s="5" t="s">
        <v>254</v>
      </c>
      <c r="B209" s="9" t="s">
        <v>47</v>
      </c>
      <c r="C209" s="9" t="s">
        <v>47</v>
      </c>
      <c r="D209" s="9" t="s">
        <v>47</v>
      </c>
      <c r="E209" s="9" t="s">
        <v>47</v>
      </c>
      <c r="F209" s="6">
        <v>0</v>
      </c>
      <c r="G209" s="6">
        <v>0</v>
      </c>
      <c r="H209" s="6">
        <v>0</v>
      </c>
      <c r="I209" s="6">
        <v>0</v>
      </c>
      <c r="J209" s="6">
        <v>0</v>
      </c>
      <c r="K209" s="6">
        <v>0</v>
      </c>
    </row>
    <row r="210" spans="1:11" x14ac:dyDescent="0.2">
      <c r="A210" s="5" t="s">
        <v>255</v>
      </c>
      <c r="B210" s="6">
        <v>70291</v>
      </c>
      <c r="C210" s="6">
        <v>66751</v>
      </c>
      <c r="D210" s="6">
        <v>65578</v>
      </c>
      <c r="E210" s="6">
        <v>64802</v>
      </c>
      <c r="F210" s="6">
        <v>-354</v>
      </c>
      <c r="G210" s="7">
        <v>-0.52</v>
      </c>
      <c r="H210" s="6">
        <v>-235</v>
      </c>
      <c r="I210" s="7">
        <v>-0.35</v>
      </c>
      <c r="J210" s="6">
        <v>-155</v>
      </c>
      <c r="K210" s="7">
        <v>-0.24</v>
      </c>
    </row>
    <row r="211" spans="1:11" x14ac:dyDescent="0.2">
      <c r="A211" s="5" t="s">
        <v>256</v>
      </c>
      <c r="B211" s="6">
        <v>3</v>
      </c>
      <c r="C211" s="6">
        <v>3</v>
      </c>
      <c r="D211" s="6">
        <v>3</v>
      </c>
      <c r="E211" s="6">
        <v>3</v>
      </c>
      <c r="F211" s="9" t="s">
        <v>47</v>
      </c>
      <c r="G211" s="8">
        <v>-0.6</v>
      </c>
      <c r="H211" s="9" t="s">
        <v>47</v>
      </c>
      <c r="I211" s="7">
        <v>-1.28</v>
      </c>
      <c r="J211" s="9" t="s">
        <v>47</v>
      </c>
      <c r="K211" s="7">
        <v>-0.68</v>
      </c>
    </row>
    <row r="212" spans="1:11" x14ac:dyDescent="0.2">
      <c r="A212" s="10" t="s">
        <v>257</v>
      </c>
      <c r="B212" s="11">
        <v>676764</v>
      </c>
      <c r="C212" s="11">
        <v>677083</v>
      </c>
      <c r="D212" s="11">
        <v>677823</v>
      </c>
      <c r="E212" s="11">
        <v>678961</v>
      </c>
      <c r="F212" s="11">
        <v>32</v>
      </c>
      <c r="G212" s="16" t="s">
        <v>47</v>
      </c>
      <c r="H212" s="11">
        <v>148</v>
      </c>
      <c r="I212" s="12">
        <v>0.02</v>
      </c>
      <c r="J212" s="11">
        <v>228</v>
      </c>
      <c r="K212" s="12">
        <v>0.03</v>
      </c>
    </row>
    <row r="213" spans="1:11" x14ac:dyDescent="0.2">
      <c r="A213" s="10" t="s">
        <v>258</v>
      </c>
      <c r="B213" s="11">
        <v>708383</v>
      </c>
      <c r="C213" s="11">
        <v>705497</v>
      </c>
      <c r="D213" s="11">
        <v>705296</v>
      </c>
      <c r="E213" s="11">
        <v>705393</v>
      </c>
      <c r="F213" s="11">
        <v>-289</v>
      </c>
      <c r="G213" s="12">
        <v>-0.04</v>
      </c>
      <c r="H213" s="11">
        <v>-40</v>
      </c>
      <c r="I213" s="12">
        <v>-0.01</v>
      </c>
      <c r="J213" s="11">
        <v>19</v>
      </c>
      <c r="K213" s="16" t="s">
        <v>47</v>
      </c>
    </row>
    <row r="214" spans="1:11" x14ac:dyDescent="0.2">
      <c r="A214" s="5" t="s">
        <v>43</v>
      </c>
      <c r="B214" s="6">
        <v>154500</v>
      </c>
      <c r="C214" s="6">
        <v>154920</v>
      </c>
      <c r="D214" s="6">
        <v>153920</v>
      </c>
      <c r="E214" s="6">
        <v>149300</v>
      </c>
      <c r="F214" s="6">
        <v>42</v>
      </c>
      <c r="G214" s="7">
        <v>0.03</v>
      </c>
      <c r="H214" s="6">
        <v>-200</v>
      </c>
      <c r="I214" s="7">
        <v>-0.13</v>
      </c>
      <c r="J214" s="6">
        <v>-924</v>
      </c>
      <c r="K214" s="7">
        <v>-0.61</v>
      </c>
    </row>
    <row r="215" spans="1:11" x14ac:dyDescent="0.2">
      <c r="A215" s="5" t="s">
        <v>259</v>
      </c>
      <c r="B215" s="6">
        <v>953</v>
      </c>
      <c r="C215" s="6">
        <v>980</v>
      </c>
      <c r="D215" s="6">
        <v>997</v>
      </c>
      <c r="E215" s="6">
        <v>1014</v>
      </c>
      <c r="F215" s="6">
        <v>3</v>
      </c>
      <c r="G215" s="7">
        <v>0.28999999999999998</v>
      </c>
      <c r="H215" s="6">
        <v>3</v>
      </c>
      <c r="I215" s="7">
        <v>0.34</v>
      </c>
      <c r="J215" s="6">
        <v>3</v>
      </c>
      <c r="K215" s="7">
        <v>0.34</v>
      </c>
    </row>
    <row r="216" spans="1:11" x14ac:dyDescent="0.2">
      <c r="A216" s="5" t="s">
        <v>104</v>
      </c>
      <c r="B216" s="6">
        <v>26</v>
      </c>
      <c r="C216" s="6">
        <v>26</v>
      </c>
      <c r="D216" s="6">
        <v>26</v>
      </c>
      <c r="E216" s="6">
        <v>26</v>
      </c>
      <c r="F216" s="6">
        <v>0</v>
      </c>
      <c r="G216" s="6">
        <v>0</v>
      </c>
      <c r="H216" s="6">
        <v>0</v>
      </c>
      <c r="I216" s="6">
        <v>0</v>
      </c>
      <c r="J216" s="6">
        <v>0</v>
      </c>
      <c r="K216" s="6">
        <v>0</v>
      </c>
    </row>
    <row r="217" spans="1:11" x14ac:dyDescent="0.2">
      <c r="A217" s="5" t="s">
        <v>260</v>
      </c>
      <c r="B217" s="9" t="s">
        <v>47</v>
      </c>
      <c r="C217" s="9" t="s">
        <v>47</v>
      </c>
      <c r="D217" s="9" t="s">
        <v>47</v>
      </c>
      <c r="E217" s="9" t="s">
        <v>47</v>
      </c>
      <c r="F217" s="6">
        <v>0</v>
      </c>
      <c r="G217" s="6">
        <v>0</v>
      </c>
      <c r="H217" s="6">
        <v>0</v>
      </c>
      <c r="I217" s="6">
        <v>0</v>
      </c>
      <c r="J217" s="6">
        <v>0</v>
      </c>
      <c r="K217" s="6">
        <v>0</v>
      </c>
    </row>
    <row r="218" spans="1:11" x14ac:dyDescent="0.2">
      <c r="A218" s="5" t="s">
        <v>261</v>
      </c>
      <c r="B218" s="6">
        <v>4</v>
      </c>
      <c r="C218" s="6">
        <v>4</v>
      </c>
      <c r="D218" s="6">
        <v>4</v>
      </c>
      <c r="E218" s="6">
        <v>4</v>
      </c>
      <c r="F218" s="6">
        <v>0</v>
      </c>
      <c r="G218" s="6">
        <v>0</v>
      </c>
      <c r="H218" s="6">
        <v>0</v>
      </c>
      <c r="I218" s="6">
        <v>0</v>
      </c>
      <c r="J218" s="6">
        <v>0</v>
      </c>
      <c r="K218" s="6">
        <v>0</v>
      </c>
    </row>
    <row r="219" spans="1:11" x14ac:dyDescent="0.2">
      <c r="A219" s="5" t="s">
        <v>262</v>
      </c>
      <c r="B219" s="6">
        <v>15</v>
      </c>
      <c r="C219" s="6">
        <v>16</v>
      </c>
      <c r="D219" s="6">
        <v>16</v>
      </c>
      <c r="E219" s="6">
        <v>16</v>
      </c>
      <c r="F219" s="9" t="s">
        <v>47</v>
      </c>
      <c r="G219" s="8">
        <v>0.4</v>
      </c>
      <c r="H219" s="6">
        <v>0</v>
      </c>
      <c r="I219" s="6">
        <v>0</v>
      </c>
      <c r="J219" s="6">
        <v>0</v>
      </c>
      <c r="K219" s="6">
        <v>0</v>
      </c>
    </row>
    <row r="220" spans="1:11" x14ac:dyDescent="0.2">
      <c r="A220" s="5" t="s">
        <v>263</v>
      </c>
      <c r="B220" s="6">
        <v>34</v>
      </c>
      <c r="C220" s="6">
        <v>32</v>
      </c>
      <c r="D220" s="6">
        <v>31</v>
      </c>
      <c r="E220" s="6">
        <v>30</v>
      </c>
      <c r="F220" s="9" t="s">
        <v>47</v>
      </c>
      <c r="G220" s="8">
        <v>-0.5</v>
      </c>
      <c r="H220" s="9" t="s">
        <v>47</v>
      </c>
      <c r="I220" s="7">
        <v>-0.52</v>
      </c>
      <c r="J220" s="9" t="s">
        <v>47</v>
      </c>
      <c r="K220" s="7">
        <v>-0.53</v>
      </c>
    </row>
    <row r="221" spans="1:11" x14ac:dyDescent="0.2">
      <c r="A221" s="5" t="s">
        <v>264</v>
      </c>
      <c r="B221" s="6">
        <v>13</v>
      </c>
      <c r="C221" s="6">
        <v>13</v>
      </c>
      <c r="D221" s="6">
        <v>13</v>
      </c>
      <c r="E221" s="6">
        <v>13</v>
      </c>
      <c r="F221" s="6">
        <v>0</v>
      </c>
      <c r="G221" s="6">
        <v>0</v>
      </c>
      <c r="H221" s="6">
        <v>0</v>
      </c>
      <c r="I221" s="6">
        <v>0</v>
      </c>
      <c r="J221" s="6">
        <v>0</v>
      </c>
      <c r="K221" s="6">
        <v>0</v>
      </c>
    </row>
    <row r="222" spans="1:11" x14ac:dyDescent="0.2">
      <c r="A222" s="5" t="s">
        <v>265</v>
      </c>
      <c r="B222" s="6">
        <v>2324</v>
      </c>
      <c r="C222" s="6">
        <v>2268</v>
      </c>
      <c r="D222" s="6">
        <v>2241</v>
      </c>
      <c r="E222" s="6">
        <v>2213</v>
      </c>
      <c r="F222" s="6">
        <v>-6</v>
      </c>
      <c r="G222" s="7">
        <v>-0.24</v>
      </c>
      <c r="H222" s="6">
        <v>-5</v>
      </c>
      <c r="I222" s="7">
        <v>-0.24</v>
      </c>
      <c r="J222" s="6">
        <v>-6</v>
      </c>
      <c r="K222" s="7">
        <v>-0.25</v>
      </c>
    </row>
    <row r="223" spans="1:11" x14ac:dyDescent="0.2">
      <c r="A223" s="5" t="s">
        <v>266</v>
      </c>
      <c r="B223" s="6">
        <v>6</v>
      </c>
      <c r="C223" s="6">
        <v>6</v>
      </c>
      <c r="D223" s="6">
        <v>6</v>
      </c>
      <c r="E223" s="6">
        <v>6</v>
      </c>
      <c r="F223" s="9" t="s">
        <v>47</v>
      </c>
      <c r="G223" s="7">
        <v>0.03</v>
      </c>
      <c r="H223" s="9" t="s">
        <v>47</v>
      </c>
      <c r="I223" s="7">
        <v>7.0000000000000007E-2</v>
      </c>
      <c r="J223" s="9" t="s">
        <v>47</v>
      </c>
      <c r="K223" s="7">
        <v>0.03</v>
      </c>
    </row>
    <row r="224" spans="1:11" x14ac:dyDescent="0.2">
      <c r="A224" s="5" t="s">
        <v>105</v>
      </c>
      <c r="B224" s="6">
        <v>12</v>
      </c>
      <c r="C224" s="6">
        <v>12</v>
      </c>
      <c r="D224" s="6">
        <v>12</v>
      </c>
      <c r="E224" s="6">
        <v>12</v>
      </c>
      <c r="F224" s="6">
        <v>0</v>
      </c>
      <c r="G224" s="6">
        <v>0</v>
      </c>
      <c r="H224" s="6">
        <v>0</v>
      </c>
      <c r="I224" s="6">
        <v>0</v>
      </c>
      <c r="J224" s="6">
        <v>0</v>
      </c>
      <c r="K224" s="6">
        <v>0</v>
      </c>
    </row>
    <row r="225" spans="1:11" x14ac:dyDescent="0.2">
      <c r="A225" s="5" t="s">
        <v>267</v>
      </c>
      <c r="B225" s="6">
        <v>64</v>
      </c>
      <c r="C225" s="6">
        <v>64</v>
      </c>
      <c r="D225" s="6">
        <v>64</v>
      </c>
      <c r="E225" s="6">
        <v>64</v>
      </c>
      <c r="F225" s="9" t="s">
        <v>47</v>
      </c>
      <c r="G225" s="7">
        <v>0.04</v>
      </c>
      <c r="H225" s="9" t="s">
        <v>47</v>
      </c>
      <c r="I225" s="7">
        <v>0.04</v>
      </c>
      <c r="J225" s="9" t="s">
        <v>47</v>
      </c>
      <c r="K225" s="7">
        <v>0.04</v>
      </c>
    </row>
    <row r="226" spans="1:11" x14ac:dyDescent="0.2">
      <c r="A226" s="5" t="s">
        <v>106</v>
      </c>
      <c r="B226" s="6">
        <v>0</v>
      </c>
      <c r="C226" s="6">
        <v>0</v>
      </c>
      <c r="D226" s="6">
        <v>0</v>
      </c>
      <c r="E226" s="6">
        <v>0</v>
      </c>
      <c r="F226" s="6">
        <v>0</v>
      </c>
      <c r="G226" s="9" t="s">
        <v>45</v>
      </c>
      <c r="H226" s="6">
        <v>0</v>
      </c>
      <c r="I226" s="9" t="s">
        <v>45</v>
      </c>
      <c r="J226" s="6">
        <v>0</v>
      </c>
      <c r="K226" s="9" t="s">
        <v>45</v>
      </c>
    </row>
    <row r="227" spans="1:11" x14ac:dyDescent="0.2">
      <c r="A227" s="5" t="s">
        <v>268</v>
      </c>
      <c r="B227" s="6">
        <v>21</v>
      </c>
      <c r="C227" s="6">
        <v>20</v>
      </c>
      <c r="D227" s="6">
        <v>19</v>
      </c>
      <c r="E227" s="6">
        <v>19</v>
      </c>
      <c r="F227" s="9" t="s">
        <v>47</v>
      </c>
      <c r="G227" s="8">
        <v>-0.5</v>
      </c>
      <c r="H227" s="9" t="s">
        <v>47</v>
      </c>
      <c r="I227" s="7">
        <v>-0.52</v>
      </c>
      <c r="J227" s="9" t="s">
        <v>47</v>
      </c>
      <c r="K227" s="7">
        <v>-0.53</v>
      </c>
    </row>
    <row r="228" spans="1:11" x14ac:dyDescent="0.2">
      <c r="A228" s="5" t="s">
        <v>269</v>
      </c>
      <c r="B228" s="6">
        <v>839</v>
      </c>
      <c r="C228" s="6">
        <v>839</v>
      </c>
      <c r="D228" s="6">
        <v>839</v>
      </c>
      <c r="E228" s="6">
        <v>839</v>
      </c>
      <c r="F228" s="6">
        <v>0</v>
      </c>
      <c r="G228" s="6">
        <v>0</v>
      </c>
      <c r="H228" s="6">
        <v>0</v>
      </c>
      <c r="I228" s="6">
        <v>0</v>
      </c>
      <c r="J228" s="6">
        <v>0</v>
      </c>
      <c r="K228" s="6">
        <v>0</v>
      </c>
    </row>
    <row r="229" spans="1:11" x14ac:dyDescent="0.2">
      <c r="A229" s="5" t="s">
        <v>270</v>
      </c>
      <c r="B229" s="6">
        <v>7720</v>
      </c>
      <c r="C229" s="6">
        <v>8266</v>
      </c>
      <c r="D229" s="6">
        <v>8311</v>
      </c>
      <c r="E229" s="6">
        <v>8269</v>
      </c>
      <c r="F229" s="6">
        <v>55</v>
      </c>
      <c r="G229" s="7">
        <v>0.69</v>
      </c>
      <c r="H229" s="6">
        <v>9</v>
      </c>
      <c r="I229" s="7">
        <v>0.11</v>
      </c>
      <c r="J229" s="6">
        <v>-8</v>
      </c>
      <c r="K229" s="8">
        <v>-0.1</v>
      </c>
    </row>
    <row r="230" spans="1:11" x14ac:dyDescent="0.2">
      <c r="A230" s="5" t="s">
        <v>271</v>
      </c>
      <c r="B230" s="6">
        <v>38</v>
      </c>
      <c r="C230" s="6">
        <v>40</v>
      </c>
      <c r="D230" s="6">
        <v>40</v>
      </c>
      <c r="E230" s="6">
        <v>40</v>
      </c>
      <c r="F230" s="9" t="s">
        <v>47</v>
      </c>
      <c r="G230" s="7">
        <v>0.37</v>
      </c>
      <c r="H230" s="9" t="s">
        <v>47</v>
      </c>
      <c r="I230" s="7">
        <v>0.36</v>
      </c>
      <c r="J230" s="6">
        <v>0</v>
      </c>
      <c r="K230" s="6">
        <v>0</v>
      </c>
    </row>
    <row r="231" spans="1:11" x14ac:dyDescent="0.2">
      <c r="A231" s="5" t="s">
        <v>272</v>
      </c>
      <c r="B231" s="6">
        <v>31523</v>
      </c>
      <c r="C231" s="6">
        <v>30133</v>
      </c>
      <c r="D231" s="6">
        <v>29437</v>
      </c>
      <c r="E231" s="6">
        <v>28726</v>
      </c>
      <c r="F231" s="6">
        <v>-139</v>
      </c>
      <c r="G231" s="7">
        <v>-0.45</v>
      </c>
      <c r="H231" s="6">
        <v>-139</v>
      </c>
      <c r="I231" s="7">
        <v>-0.47</v>
      </c>
      <c r="J231" s="6">
        <v>-142</v>
      </c>
      <c r="K231" s="7">
        <v>-0.49</v>
      </c>
    </row>
    <row r="232" spans="1:11" x14ac:dyDescent="0.2">
      <c r="A232" s="5" t="s">
        <v>273</v>
      </c>
      <c r="B232" s="9" t="s">
        <v>274</v>
      </c>
      <c r="C232" s="6">
        <v>105</v>
      </c>
      <c r="D232" s="6">
        <v>130</v>
      </c>
      <c r="E232" s="6">
        <v>155</v>
      </c>
      <c r="F232" s="6">
        <v>5</v>
      </c>
      <c r="G232" s="7">
        <v>6.68</v>
      </c>
      <c r="H232" s="6">
        <v>5</v>
      </c>
      <c r="I232" s="7">
        <v>4.3600000000000003</v>
      </c>
      <c r="J232" s="6">
        <v>5</v>
      </c>
      <c r="K232" s="7">
        <v>3.58</v>
      </c>
    </row>
    <row r="233" spans="1:11" x14ac:dyDescent="0.2">
      <c r="A233" s="5" t="s">
        <v>107</v>
      </c>
      <c r="B233" s="6">
        <v>130</v>
      </c>
      <c r="C233" s="6">
        <v>171</v>
      </c>
      <c r="D233" s="6">
        <v>171</v>
      </c>
      <c r="E233" s="6">
        <v>171</v>
      </c>
      <c r="F233" s="6">
        <v>4</v>
      </c>
      <c r="G233" s="7">
        <v>2.78</v>
      </c>
      <c r="H233" s="6">
        <v>0</v>
      </c>
      <c r="I233" s="6">
        <v>0</v>
      </c>
      <c r="J233" s="6">
        <v>0</v>
      </c>
      <c r="K233" s="6">
        <v>0</v>
      </c>
    </row>
    <row r="234" spans="1:11" x14ac:dyDescent="0.2">
      <c r="A234" s="5" t="s">
        <v>275</v>
      </c>
      <c r="B234" s="6">
        <v>18</v>
      </c>
      <c r="C234" s="6">
        <v>18</v>
      </c>
      <c r="D234" s="6">
        <v>18</v>
      </c>
      <c r="E234" s="6">
        <v>18</v>
      </c>
      <c r="F234" s="9" t="s">
        <v>47</v>
      </c>
      <c r="G234" s="7">
        <v>-0.19</v>
      </c>
      <c r="H234" s="9" t="s">
        <v>47</v>
      </c>
      <c r="I234" s="7">
        <v>-0.19</v>
      </c>
      <c r="J234" s="9" t="s">
        <v>47</v>
      </c>
      <c r="K234" s="7">
        <v>-0.19</v>
      </c>
    </row>
    <row r="235" spans="1:11" x14ac:dyDescent="0.2">
      <c r="A235" s="5" t="s">
        <v>276</v>
      </c>
      <c r="B235" s="6">
        <v>0</v>
      </c>
      <c r="C235" s="6">
        <v>0</v>
      </c>
      <c r="D235" s="6">
        <v>0</v>
      </c>
      <c r="E235" s="6">
        <v>0</v>
      </c>
      <c r="F235" s="6">
        <v>0</v>
      </c>
      <c r="G235" s="9" t="s">
        <v>45</v>
      </c>
      <c r="H235" s="6">
        <v>0</v>
      </c>
      <c r="I235" s="9" t="s">
        <v>45</v>
      </c>
      <c r="J235" s="6">
        <v>0</v>
      </c>
      <c r="K235" s="9" t="s">
        <v>45</v>
      </c>
    </row>
    <row r="236" spans="1:11" x14ac:dyDescent="0.2">
      <c r="A236" s="5" t="s">
        <v>108</v>
      </c>
      <c r="B236" s="6">
        <v>9</v>
      </c>
      <c r="C236" s="6">
        <v>9</v>
      </c>
      <c r="D236" s="6">
        <v>9</v>
      </c>
      <c r="E236" s="6">
        <v>9</v>
      </c>
      <c r="F236" s="6">
        <v>0</v>
      </c>
      <c r="G236" s="6">
        <v>0</v>
      </c>
      <c r="H236" s="6">
        <v>0</v>
      </c>
      <c r="I236" s="6">
        <v>0</v>
      </c>
      <c r="J236" s="6">
        <v>0</v>
      </c>
      <c r="K236" s="6">
        <v>0</v>
      </c>
    </row>
    <row r="237" spans="1:11" x14ac:dyDescent="0.2">
      <c r="A237" s="5" t="s">
        <v>109</v>
      </c>
      <c r="B237" s="6">
        <v>1</v>
      </c>
      <c r="C237" s="6">
        <v>1</v>
      </c>
      <c r="D237" s="6">
        <v>1</v>
      </c>
      <c r="E237" s="6">
        <v>1</v>
      </c>
      <c r="F237" s="6">
        <v>0</v>
      </c>
      <c r="G237" s="6">
        <v>0</v>
      </c>
      <c r="H237" s="6">
        <v>0</v>
      </c>
      <c r="I237" s="6">
        <v>0</v>
      </c>
      <c r="J237" s="6">
        <v>0</v>
      </c>
      <c r="K237" s="6">
        <v>0</v>
      </c>
    </row>
    <row r="238" spans="1:11" x14ac:dyDescent="0.2">
      <c r="A238" s="5" t="s">
        <v>31</v>
      </c>
      <c r="B238" s="6">
        <v>440</v>
      </c>
      <c r="C238" s="6">
        <v>440</v>
      </c>
      <c r="D238" s="6">
        <v>440</v>
      </c>
      <c r="E238" s="6">
        <v>440</v>
      </c>
      <c r="F238" s="6">
        <v>0</v>
      </c>
      <c r="G238" s="6">
        <v>0</v>
      </c>
      <c r="H238" s="6">
        <v>0</v>
      </c>
      <c r="I238" s="6">
        <v>0</v>
      </c>
      <c r="J238" s="6">
        <v>0</v>
      </c>
      <c r="K238" s="6">
        <v>0</v>
      </c>
    </row>
    <row r="239" spans="1:11" x14ac:dyDescent="0.2">
      <c r="A239" s="10" t="s">
        <v>277</v>
      </c>
      <c r="B239" s="11">
        <v>198744</v>
      </c>
      <c r="C239" s="11">
        <v>198381</v>
      </c>
      <c r="D239" s="11">
        <v>196745</v>
      </c>
      <c r="E239" s="11">
        <v>191384</v>
      </c>
      <c r="F239" s="11">
        <v>-36</v>
      </c>
      <c r="G239" s="12">
        <v>-0.02</v>
      </c>
      <c r="H239" s="11">
        <v>-327</v>
      </c>
      <c r="I239" s="12">
        <v>-0.17</v>
      </c>
      <c r="J239" s="11">
        <v>-1072</v>
      </c>
      <c r="K239" s="12">
        <v>-0.55000000000000004</v>
      </c>
    </row>
    <row r="240" spans="1:11" x14ac:dyDescent="0.2">
      <c r="A240" s="5" t="s">
        <v>41</v>
      </c>
      <c r="B240" s="6">
        <v>34793</v>
      </c>
      <c r="C240" s="6">
        <v>31861</v>
      </c>
      <c r="D240" s="6">
        <v>30599</v>
      </c>
      <c r="E240" s="6">
        <v>29400</v>
      </c>
      <c r="F240" s="6">
        <v>-293</v>
      </c>
      <c r="G240" s="7">
        <v>-0.88</v>
      </c>
      <c r="H240" s="6">
        <v>-252</v>
      </c>
      <c r="I240" s="7">
        <v>-0.81</v>
      </c>
      <c r="J240" s="6">
        <v>-240</v>
      </c>
      <c r="K240" s="8">
        <v>-0.8</v>
      </c>
    </row>
    <row r="241" spans="1:11" x14ac:dyDescent="0.2">
      <c r="A241" s="5" t="s">
        <v>278</v>
      </c>
      <c r="B241" s="6">
        <v>62795</v>
      </c>
      <c r="C241" s="6">
        <v>60091</v>
      </c>
      <c r="D241" s="6">
        <v>58734</v>
      </c>
      <c r="E241" s="6">
        <v>57196</v>
      </c>
      <c r="F241" s="6">
        <v>-270</v>
      </c>
      <c r="G241" s="7">
        <v>-0.44</v>
      </c>
      <c r="H241" s="6">
        <v>-271</v>
      </c>
      <c r="I241" s="7">
        <v>-0.46</v>
      </c>
      <c r="J241" s="6">
        <v>-308</v>
      </c>
      <c r="K241" s="7">
        <v>-0.53</v>
      </c>
    </row>
    <row r="242" spans="1:11" x14ac:dyDescent="0.2">
      <c r="A242" s="5" t="s">
        <v>279</v>
      </c>
      <c r="B242" s="6">
        <v>574839</v>
      </c>
      <c r="C242" s="6">
        <v>545943</v>
      </c>
      <c r="D242" s="6">
        <v>530494</v>
      </c>
      <c r="E242" s="6">
        <v>519522</v>
      </c>
      <c r="F242" s="6">
        <v>-2890</v>
      </c>
      <c r="G242" s="7">
        <v>-0.51</v>
      </c>
      <c r="H242" s="6">
        <v>-3090</v>
      </c>
      <c r="I242" s="7">
        <v>-0.56999999999999995</v>
      </c>
      <c r="J242" s="6">
        <v>-2194</v>
      </c>
      <c r="K242" s="7">
        <v>-0.42</v>
      </c>
    </row>
    <row r="243" spans="1:11" x14ac:dyDescent="0.2">
      <c r="A243" s="5" t="s">
        <v>280</v>
      </c>
      <c r="B243" s="6">
        <v>15263</v>
      </c>
      <c r="C243" s="6">
        <v>15834</v>
      </c>
      <c r="D243" s="6">
        <v>16043</v>
      </c>
      <c r="E243" s="6">
        <v>16231</v>
      </c>
      <c r="F243" s="6">
        <v>57</v>
      </c>
      <c r="G243" s="7">
        <v>0.37</v>
      </c>
      <c r="H243" s="6">
        <v>42</v>
      </c>
      <c r="I243" s="7">
        <v>0.26</v>
      </c>
      <c r="J243" s="6">
        <v>38</v>
      </c>
      <c r="K243" s="7">
        <v>0.23</v>
      </c>
    </row>
    <row r="244" spans="1:11" x14ac:dyDescent="0.2">
      <c r="A244" s="5" t="s">
        <v>281</v>
      </c>
      <c r="B244" s="6">
        <v>62519</v>
      </c>
      <c r="C244" s="6">
        <v>61509</v>
      </c>
      <c r="D244" s="6">
        <v>61004</v>
      </c>
      <c r="E244" s="6">
        <v>60499</v>
      </c>
      <c r="F244" s="6">
        <v>-101</v>
      </c>
      <c r="G244" s="7">
        <v>-0.16</v>
      </c>
      <c r="H244" s="6">
        <v>-101</v>
      </c>
      <c r="I244" s="7">
        <v>-0.16</v>
      </c>
      <c r="J244" s="6">
        <v>-101</v>
      </c>
      <c r="K244" s="7">
        <v>-0.17</v>
      </c>
    </row>
    <row r="245" spans="1:11" x14ac:dyDescent="0.2">
      <c r="A245" s="5" t="s">
        <v>282</v>
      </c>
      <c r="B245" s="6">
        <v>13817</v>
      </c>
      <c r="C245" s="6">
        <v>11841</v>
      </c>
      <c r="D245" s="6">
        <v>10853</v>
      </c>
      <c r="E245" s="6">
        <v>9865</v>
      </c>
      <c r="F245" s="6">
        <v>-198</v>
      </c>
      <c r="G245" s="7">
        <v>-1.53</v>
      </c>
      <c r="H245" s="6">
        <v>-198</v>
      </c>
      <c r="I245" s="7">
        <v>-1.73</v>
      </c>
      <c r="J245" s="6">
        <v>-198</v>
      </c>
      <c r="K245" s="7">
        <v>-1.89</v>
      </c>
    </row>
    <row r="246" spans="1:11" x14ac:dyDescent="0.2">
      <c r="A246" s="5" t="s">
        <v>110</v>
      </c>
      <c r="B246" s="6">
        <v>15205</v>
      </c>
      <c r="C246" s="6">
        <v>15205</v>
      </c>
      <c r="D246" s="6">
        <v>15205</v>
      </c>
      <c r="E246" s="6">
        <v>15205</v>
      </c>
      <c r="F246" s="6">
        <v>0</v>
      </c>
      <c r="G246" s="6">
        <v>0</v>
      </c>
      <c r="H246" s="6">
        <v>0</v>
      </c>
      <c r="I246" s="6">
        <v>0</v>
      </c>
      <c r="J246" s="6">
        <v>0</v>
      </c>
      <c r="K246" s="6">
        <v>0</v>
      </c>
    </row>
    <row r="247" spans="1:11" x14ac:dyDescent="0.2">
      <c r="A247" s="5" t="s">
        <v>283</v>
      </c>
      <c r="B247" s="6">
        <v>8188</v>
      </c>
      <c r="C247" s="6">
        <v>8118</v>
      </c>
      <c r="D247" s="6">
        <v>8100</v>
      </c>
      <c r="E247" s="6">
        <v>8082</v>
      </c>
      <c r="F247" s="6">
        <v>-7</v>
      </c>
      <c r="G247" s="7">
        <v>-0.09</v>
      </c>
      <c r="H247" s="6">
        <v>-4</v>
      </c>
      <c r="I247" s="7">
        <v>-0.04</v>
      </c>
      <c r="J247" s="6">
        <v>-4</v>
      </c>
      <c r="K247" s="7">
        <v>-0.04</v>
      </c>
    </row>
    <row r="248" spans="1:11" x14ac:dyDescent="0.2">
      <c r="A248" s="5" t="s">
        <v>284</v>
      </c>
      <c r="B248" s="6">
        <v>0</v>
      </c>
      <c r="C248" s="6">
        <v>0</v>
      </c>
      <c r="D248" s="6">
        <v>0</v>
      </c>
      <c r="E248" s="6">
        <v>0</v>
      </c>
      <c r="F248" s="6">
        <v>0</v>
      </c>
      <c r="G248" s="9" t="s">
        <v>45</v>
      </c>
      <c r="H248" s="6">
        <v>0</v>
      </c>
      <c r="I248" s="9" t="s">
        <v>45</v>
      </c>
      <c r="J248" s="6">
        <v>0</v>
      </c>
      <c r="K248" s="9" t="s">
        <v>45</v>
      </c>
    </row>
    <row r="249" spans="1:11" x14ac:dyDescent="0.2">
      <c r="A249" s="5" t="s">
        <v>111</v>
      </c>
      <c r="B249" s="6">
        <v>21157</v>
      </c>
      <c r="C249" s="6">
        <v>19368</v>
      </c>
      <c r="D249" s="6">
        <v>18475</v>
      </c>
      <c r="E249" s="6">
        <v>17582</v>
      </c>
      <c r="F249" s="6">
        <v>-179</v>
      </c>
      <c r="G249" s="7">
        <v>-0.88</v>
      </c>
      <c r="H249" s="6">
        <v>-179</v>
      </c>
      <c r="I249" s="7">
        <v>-0.94</v>
      </c>
      <c r="J249" s="6">
        <v>-179</v>
      </c>
      <c r="K249" s="7">
        <v>-0.99</v>
      </c>
    </row>
    <row r="250" spans="1:11" x14ac:dyDescent="0.2">
      <c r="A250" s="5" t="s">
        <v>285</v>
      </c>
      <c r="B250" s="6">
        <v>70156</v>
      </c>
      <c r="C250" s="6">
        <v>69213</v>
      </c>
      <c r="D250" s="6">
        <v>68742</v>
      </c>
      <c r="E250" s="6">
        <v>67992</v>
      </c>
      <c r="F250" s="6">
        <v>-94</v>
      </c>
      <c r="G250" s="7">
        <v>-0.14000000000000001</v>
      </c>
      <c r="H250" s="6">
        <v>-94</v>
      </c>
      <c r="I250" s="7">
        <v>-0.14000000000000001</v>
      </c>
      <c r="J250" s="6">
        <v>-150</v>
      </c>
      <c r="K250" s="7">
        <v>-0.22</v>
      </c>
    </row>
    <row r="251" spans="1:11" x14ac:dyDescent="0.2">
      <c r="A251" s="5" t="s">
        <v>112</v>
      </c>
      <c r="B251" s="6">
        <v>14776</v>
      </c>
      <c r="C251" s="6">
        <v>14776</v>
      </c>
      <c r="D251" s="6">
        <v>14776</v>
      </c>
      <c r="E251" s="6">
        <v>14758</v>
      </c>
      <c r="F251" s="6">
        <v>0</v>
      </c>
      <c r="G251" s="6">
        <v>0</v>
      </c>
      <c r="H251" s="6">
        <v>0</v>
      </c>
      <c r="I251" s="6">
        <v>0</v>
      </c>
      <c r="J251" s="6">
        <v>-4</v>
      </c>
      <c r="K251" s="7">
        <v>-0.02</v>
      </c>
    </row>
    <row r="252" spans="1:11" x14ac:dyDescent="0.2">
      <c r="A252" s="5" t="s">
        <v>113</v>
      </c>
      <c r="B252" s="6">
        <v>920</v>
      </c>
      <c r="C252" s="6">
        <v>1412</v>
      </c>
      <c r="D252" s="6">
        <v>1520</v>
      </c>
      <c r="E252" s="6">
        <v>1744</v>
      </c>
      <c r="F252" s="6">
        <v>49</v>
      </c>
      <c r="G252" s="7">
        <v>4.38</v>
      </c>
      <c r="H252" s="6">
        <v>22</v>
      </c>
      <c r="I252" s="7">
        <v>1.48</v>
      </c>
      <c r="J252" s="6">
        <v>45</v>
      </c>
      <c r="K252" s="7">
        <v>2.79</v>
      </c>
    </row>
    <row r="253" spans="1:11" x14ac:dyDescent="0.2">
      <c r="A253" s="5" t="s">
        <v>286</v>
      </c>
      <c r="B253" s="6">
        <v>52026</v>
      </c>
      <c r="C253" s="6">
        <v>49151</v>
      </c>
      <c r="D253" s="6">
        <v>47713</v>
      </c>
      <c r="E253" s="6">
        <v>46275</v>
      </c>
      <c r="F253" s="6">
        <v>-288</v>
      </c>
      <c r="G253" s="7">
        <v>-0.56999999999999995</v>
      </c>
      <c r="H253" s="6">
        <v>-288</v>
      </c>
      <c r="I253" s="7">
        <v>-0.59</v>
      </c>
      <c r="J253" s="6">
        <v>-288</v>
      </c>
      <c r="K253" s="7">
        <v>-0.61</v>
      </c>
    </row>
    <row r="254" spans="1:11" x14ac:dyDescent="0.2">
      <c r="A254" s="10" t="s">
        <v>287</v>
      </c>
      <c r="B254" s="11">
        <v>946454</v>
      </c>
      <c r="C254" s="11">
        <v>904322</v>
      </c>
      <c r="D254" s="11">
        <v>882258</v>
      </c>
      <c r="E254" s="11">
        <v>864351</v>
      </c>
      <c r="F254" s="11">
        <v>-4213</v>
      </c>
      <c r="G254" s="12">
        <v>-0.45</v>
      </c>
      <c r="H254" s="11">
        <v>-4413</v>
      </c>
      <c r="I254" s="12">
        <v>-0.49</v>
      </c>
      <c r="J254" s="11">
        <v>-3581</v>
      </c>
      <c r="K254" s="12">
        <v>-0.41</v>
      </c>
    </row>
    <row r="255" spans="1:11" x14ac:dyDescent="0.2">
      <c r="A255" s="17" t="s">
        <v>288</v>
      </c>
      <c r="B255" s="18">
        <v>4168399</v>
      </c>
      <c r="C255" s="18">
        <v>4085168</v>
      </c>
      <c r="D255" s="18">
        <v>4060964</v>
      </c>
      <c r="E255" s="18">
        <v>4033060</v>
      </c>
      <c r="F255" s="18">
        <v>-8323</v>
      </c>
      <c r="G255" s="19">
        <v>-0.2</v>
      </c>
      <c r="H255" s="18">
        <v>-4841</v>
      </c>
      <c r="I255" s="20">
        <v>-0.12</v>
      </c>
      <c r="J255" s="18">
        <v>-5581</v>
      </c>
      <c r="K255" s="20">
        <v>-0.14000000000000001</v>
      </c>
    </row>
    <row r="257" spans="1:11" x14ac:dyDescent="0.2">
      <c r="A257" s="519" t="s">
        <v>289</v>
      </c>
      <c r="B257" s="520"/>
      <c r="C257" s="520"/>
      <c r="D257" s="520"/>
      <c r="E257" s="520"/>
      <c r="F257" s="520"/>
      <c r="G257" s="520"/>
      <c r="H257" s="520"/>
      <c r="I257" s="520"/>
      <c r="J257" s="520"/>
      <c r="K257" s="520"/>
    </row>
    <row r="258" spans="1:11" x14ac:dyDescent="0.2">
      <c r="A258" s="519" t="s">
        <v>290</v>
      </c>
      <c r="B258" s="520"/>
      <c r="C258" s="520"/>
      <c r="D258" s="520"/>
      <c r="E258" s="520"/>
      <c r="F258" s="520"/>
      <c r="G258" s="520"/>
      <c r="H258" s="520"/>
      <c r="I258" s="520"/>
      <c r="J258" s="520"/>
      <c r="K258" s="520"/>
    </row>
    <row r="259" spans="1:11" x14ac:dyDescent="0.2">
      <c r="A259" s="21" t="s">
        <v>291</v>
      </c>
      <c r="B259" s="22"/>
      <c r="C259" s="22"/>
      <c r="D259" s="22"/>
      <c r="E259" s="22"/>
      <c r="F259" s="22"/>
      <c r="J259" s="22"/>
    </row>
    <row r="262" spans="1:11" x14ac:dyDescent="0.2">
      <c r="A262" s="22"/>
      <c r="B262" s="22"/>
      <c r="C262" s="22"/>
      <c r="D262" s="22"/>
      <c r="E262" s="22"/>
      <c r="F262" s="22"/>
      <c r="J262" s="22"/>
    </row>
    <row r="263" spans="1:11" x14ac:dyDescent="0.2">
      <c r="A263" s="22"/>
      <c r="B263" s="22"/>
      <c r="C263" s="22"/>
      <c r="D263" s="22"/>
      <c r="E263" s="22"/>
      <c r="F263" s="22"/>
      <c r="J263" s="22"/>
    </row>
  </sheetData>
  <sheetProtection password="C644" sheet="1" objects="1" scenarios="1"/>
  <dataConsolidate/>
  <mergeCells count="13">
    <mergeCell ref="J4:K4"/>
    <mergeCell ref="A257:K257"/>
    <mergeCell ref="A258:K258"/>
    <mergeCell ref="A1:K1"/>
    <mergeCell ref="A3:A5"/>
    <mergeCell ref="B3:E3"/>
    <mergeCell ref="F3:K3"/>
    <mergeCell ref="B4:B5"/>
    <mergeCell ref="C4:C5"/>
    <mergeCell ref="D4:D5"/>
    <mergeCell ref="E4:E5"/>
    <mergeCell ref="F4:G4"/>
    <mergeCell ref="H4:I4"/>
  </mergeCells>
  <phoneticPr fontId="32" type="noConversion"/>
  <pageMargins left="0.78740157499999996" right="0.78740157499999996" top="0.984251969" bottom="0.984251969"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3"/>
  <sheetViews>
    <sheetView showGridLines="0" zoomScale="115" workbookViewId="0">
      <selection activeCell="F7" sqref="F7"/>
    </sheetView>
  </sheetViews>
  <sheetFormatPr baseColWidth="10" defaultRowHeight="12.75" x14ac:dyDescent="0.25"/>
  <cols>
    <col min="1" max="1" width="11.42578125" style="115"/>
    <col min="2" max="2" width="12" style="115" bestFit="1" customWidth="1"/>
    <col min="3" max="4" width="20.140625" style="108" customWidth="1"/>
    <col min="5" max="6" width="12.85546875" style="116" bestFit="1" customWidth="1"/>
    <col min="7" max="8" width="11.42578125" style="115"/>
    <col min="9" max="9" width="11.42578125" style="115" customWidth="1"/>
    <col min="10" max="16384" width="11.42578125" style="115"/>
  </cols>
  <sheetData>
    <row r="1" spans="1:9" ht="18" x14ac:dyDescent="0.25">
      <c r="A1" s="526" t="s">
        <v>548</v>
      </c>
      <c r="B1" s="526"/>
      <c r="C1" s="526"/>
      <c r="D1" s="526"/>
      <c r="E1" s="455">
        <f>SUM(I6:I21)/SUM(F6:F21)</f>
        <v>3.6</v>
      </c>
      <c r="F1" s="456" t="s">
        <v>549</v>
      </c>
    </row>
    <row r="2" spans="1:9" x14ac:dyDescent="0.25">
      <c r="C2" s="115"/>
      <c r="D2" s="115"/>
      <c r="E2" s="115"/>
      <c r="F2" s="115"/>
    </row>
    <row r="3" spans="1:9" x14ac:dyDescent="0.25">
      <c r="C3" s="115"/>
      <c r="D3" s="115"/>
      <c r="E3" s="115"/>
      <c r="F3" s="115"/>
    </row>
    <row r="4" spans="1:9" x14ac:dyDescent="0.25">
      <c r="C4" s="115"/>
      <c r="D4" s="115"/>
      <c r="E4" s="115"/>
      <c r="F4" s="115"/>
    </row>
    <row r="5" spans="1:9" ht="25.5" x14ac:dyDescent="0.25">
      <c r="B5" s="450" t="s">
        <v>466</v>
      </c>
      <c r="C5" s="450" t="s">
        <v>467</v>
      </c>
      <c r="D5" s="450" t="s">
        <v>444</v>
      </c>
      <c r="E5" s="450" t="s">
        <v>442</v>
      </c>
      <c r="F5" s="450" t="s">
        <v>443</v>
      </c>
    </row>
    <row r="6" spans="1:9" x14ac:dyDescent="0.25">
      <c r="B6" s="450">
        <v>1</v>
      </c>
      <c r="C6" s="451" t="s">
        <v>468</v>
      </c>
      <c r="D6" s="452" t="s">
        <v>469</v>
      </c>
      <c r="E6" s="453">
        <v>3.6</v>
      </c>
      <c r="F6" s="453">
        <v>1000</v>
      </c>
      <c r="I6" s="140">
        <f>F6*E6</f>
        <v>3600</v>
      </c>
    </row>
    <row r="7" spans="1:9" x14ac:dyDescent="0.25">
      <c r="B7" s="450">
        <v>2</v>
      </c>
      <c r="C7" s="451"/>
      <c r="D7" s="452"/>
      <c r="E7" s="453"/>
      <c r="F7" s="453"/>
      <c r="I7" s="140">
        <f t="shared" ref="I7:I21" si="0">F7*E7</f>
        <v>0</v>
      </c>
    </row>
    <row r="8" spans="1:9" x14ac:dyDescent="0.25">
      <c r="B8" s="450">
        <v>3</v>
      </c>
      <c r="C8" s="451"/>
      <c r="D8" s="452"/>
      <c r="E8" s="453"/>
      <c r="F8" s="453"/>
      <c r="I8" s="140">
        <f t="shared" si="0"/>
        <v>0</v>
      </c>
    </row>
    <row r="9" spans="1:9" x14ac:dyDescent="0.25">
      <c r="B9" s="450">
        <v>4</v>
      </c>
      <c r="C9" s="451"/>
      <c r="D9" s="452"/>
      <c r="E9" s="453"/>
      <c r="F9" s="453"/>
      <c r="I9" s="140">
        <f t="shared" si="0"/>
        <v>0</v>
      </c>
    </row>
    <row r="10" spans="1:9" x14ac:dyDescent="0.25">
      <c r="B10" s="450">
        <v>5</v>
      </c>
      <c r="C10" s="451"/>
      <c r="D10" s="452"/>
      <c r="E10" s="453"/>
      <c r="F10" s="453"/>
      <c r="I10" s="140">
        <f t="shared" si="0"/>
        <v>0</v>
      </c>
    </row>
    <row r="11" spans="1:9" x14ac:dyDescent="0.25">
      <c r="B11" s="450">
        <v>6</v>
      </c>
      <c r="C11" s="451"/>
      <c r="D11" s="452"/>
      <c r="E11" s="453"/>
      <c r="F11" s="453"/>
      <c r="I11" s="140">
        <f t="shared" si="0"/>
        <v>0</v>
      </c>
    </row>
    <row r="12" spans="1:9" x14ac:dyDescent="0.25">
      <c r="B12" s="450">
        <v>7</v>
      </c>
      <c r="C12" s="451"/>
      <c r="D12" s="452"/>
      <c r="E12" s="453"/>
      <c r="F12" s="453"/>
      <c r="I12" s="140">
        <f t="shared" si="0"/>
        <v>0</v>
      </c>
    </row>
    <row r="13" spans="1:9" x14ac:dyDescent="0.25">
      <c r="B13" s="450">
        <v>8</v>
      </c>
      <c r="C13" s="451"/>
      <c r="D13" s="452"/>
      <c r="E13" s="453"/>
      <c r="F13" s="453"/>
      <c r="I13" s="140">
        <f t="shared" si="0"/>
        <v>0</v>
      </c>
    </row>
    <row r="14" spans="1:9" x14ac:dyDescent="0.25">
      <c r="B14" s="450">
        <v>9</v>
      </c>
      <c r="C14" s="451"/>
      <c r="D14" s="452"/>
      <c r="E14" s="453"/>
      <c r="F14" s="453"/>
      <c r="I14" s="140">
        <f t="shared" si="0"/>
        <v>0</v>
      </c>
    </row>
    <row r="15" spans="1:9" x14ac:dyDescent="0.25">
      <c r="B15" s="450">
        <v>10</v>
      </c>
      <c r="C15" s="451"/>
      <c r="D15" s="452"/>
      <c r="E15" s="453"/>
      <c r="F15" s="453"/>
      <c r="I15" s="140">
        <f t="shared" si="0"/>
        <v>0</v>
      </c>
    </row>
    <row r="16" spans="1:9" x14ac:dyDescent="0.25">
      <c r="B16" s="450">
        <v>11</v>
      </c>
      <c r="C16" s="451"/>
      <c r="D16" s="452"/>
      <c r="E16" s="453"/>
      <c r="F16" s="453"/>
      <c r="I16" s="140">
        <f t="shared" si="0"/>
        <v>0</v>
      </c>
    </row>
    <row r="17" spans="2:9" x14ac:dyDescent="0.25">
      <c r="B17" s="450">
        <v>12</v>
      </c>
      <c r="C17" s="451"/>
      <c r="D17" s="452"/>
      <c r="E17" s="453"/>
      <c r="F17" s="453"/>
      <c r="I17" s="140">
        <f t="shared" si="0"/>
        <v>0</v>
      </c>
    </row>
    <row r="18" spans="2:9" x14ac:dyDescent="0.25">
      <c r="B18" s="450">
        <v>13</v>
      </c>
      <c r="C18" s="451"/>
      <c r="D18" s="452"/>
      <c r="E18" s="453"/>
      <c r="F18" s="453"/>
      <c r="I18" s="140">
        <f t="shared" si="0"/>
        <v>0</v>
      </c>
    </row>
    <row r="19" spans="2:9" x14ac:dyDescent="0.25">
      <c r="B19" s="450">
        <v>14</v>
      </c>
      <c r="C19" s="451"/>
      <c r="D19" s="452"/>
      <c r="E19" s="453"/>
      <c r="F19" s="453"/>
      <c r="I19" s="140">
        <f t="shared" si="0"/>
        <v>0</v>
      </c>
    </row>
    <row r="20" spans="2:9" x14ac:dyDescent="0.25">
      <c r="B20" s="450">
        <v>15</v>
      </c>
      <c r="C20" s="451"/>
      <c r="D20" s="452"/>
      <c r="E20" s="453"/>
      <c r="F20" s="453"/>
      <c r="I20" s="140">
        <f t="shared" si="0"/>
        <v>0</v>
      </c>
    </row>
    <row r="21" spans="2:9" x14ac:dyDescent="0.25">
      <c r="B21" s="450">
        <v>16</v>
      </c>
      <c r="C21" s="451"/>
      <c r="D21" s="452"/>
      <c r="E21" s="453"/>
      <c r="F21" s="453"/>
      <c r="I21" s="140">
        <f t="shared" si="0"/>
        <v>0</v>
      </c>
    </row>
    <row r="23" spans="2:9" ht="15" x14ac:dyDescent="0.25">
      <c r="B23" s="454" t="s">
        <v>547</v>
      </c>
    </row>
  </sheetData>
  <sheetProtection password="C644" sheet="1" objects="1" scenarios="1" selectLockedCells="1"/>
  <mergeCells count="1">
    <mergeCell ref="A1:D1"/>
  </mergeCells>
  <phoneticPr fontId="32" type="noConversion"/>
  <hyperlinks>
    <hyperlink ref="B23" location="Accueil!A1" display="&gt; revenir à la page d'acceuil"/>
  </hyperlink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6"/>
  <sheetViews>
    <sheetView showGridLines="0" topLeftCell="S1" zoomScale="55" zoomScaleNormal="55" workbookViewId="0">
      <selection activeCell="S1" sqref="S1"/>
    </sheetView>
  </sheetViews>
  <sheetFormatPr baseColWidth="10" defaultRowHeight="15" x14ac:dyDescent="0.25"/>
  <cols>
    <col min="1" max="1" width="0" hidden="1" customWidth="1"/>
    <col min="2" max="3" width="47.140625" hidden="1" customWidth="1"/>
    <col min="4" max="4" width="3.7109375" hidden="1" customWidth="1"/>
    <col min="5" max="5" width="3.5703125" hidden="1" customWidth="1"/>
    <col min="6" max="6" width="47.140625" hidden="1" customWidth="1"/>
    <col min="7" max="7" width="3.7109375" hidden="1" customWidth="1"/>
    <col min="8" max="8" width="3.5703125" hidden="1" customWidth="1"/>
    <col min="9" max="9" width="47.140625" hidden="1" customWidth="1"/>
    <col min="10" max="10" width="3.7109375" hidden="1" customWidth="1"/>
    <col min="11" max="11" width="11.42578125" hidden="1" customWidth="1"/>
    <col min="12" max="12" width="42.42578125" hidden="1" customWidth="1"/>
    <col min="13" max="13" width="27.5703125" hidden="1" customWidth="1"/>
    <col min="14" max="16" width="34.5703125" hidden="1" customWidth="1"/>
    <col min="17" max="18" width="0" hidden="1" customWidth="1"/>
  </cols>
  <sheetData>
    <row r="1" spans="2:16" x14ac:dyDescent="0.25">
      <c r="C1" t="s">
        <v>330</v>
      </c>
      <c r="F1" t="s">
        <v>331</v>
      </c>
      <c r="I1" t="s">
        <v>421</v>
      </c>
    </row>
    <row r="2" spans="2:16" x14ac:dyDescent="0.25">
      <c r="B2" s="2"/>
      <c r="C2" s="2"/>
      <c r="D2" s="2"/>
      <c r="F2" s="2"/>
      <c r="G2" s="2"/>
      <c r="I2" s="2" t="s">
        <v>422</v>
      </c>
      <c r="J2" s="2"/>
      <c r="L2" s="2" t="s">
        <v>12</v>
      </c>
      <c r="M2" s="2" t="s">
        <v>294</v>
      </c>
      <c r="N2" s="2" t="s">
        <v>295</v>
      </c>
      <c r="O2" s="2" t="s">
        <v>292</v>
      </c>
      <c r="P2" s="2" t="s">
        <v>293</v>
      </c>
    </row>
    <row r="3" spans="2:16" x14ac:dyDescent="0.25">
      <c r="B3" s="3" t="s">
        <v>27</v>
      </c>
      <c r="C3" s="28"/>
      <c r="D3" s="3">
        <v>2</v>
      </c>
      <c r="F3" s="28"/>
      <c r="G3" s="3">
        <v>2</v>
      </c>
      <c r="I3" s="3" t="s">
        <v>27</v>
      </c>
      <c r="J3" s="3">
        <v>1</v>
      </c>
      <c r="L3" s="3" t="s">
        <v>310</v>
      </c>
      <c r="M3" s="3" t="s">
        <v>303</v>
      </c>
      <c r="N3" s="3" t="s">
        <v>303</v>
      </c>
      <c r="O3" s="3">
        <v>0</v>
      </c>
      <c r="P3" s="3">
        <v>0</v>
      </c>
    </row>
    <row r="4" spans="2:16" x14ac:dyDescent="0.25">
      <c r="B4" s="3" t="s">
        <v>28</v>
      </c>
      <c r="C4" s="3"/>
      <c r="D4" s="3">
        <v>0</v>
      </c>
      <c r="F4" s="3"/>
      <c r="G4" s="3">
        <v>0</v>
      </c>
      <c r="I4" s="3" t="s">
        <v>28</v>
      </c>
      <c r="J4" s="3">
        <v>0</v>
      </c>
      <c r="L4" s="3" t="s">
        <v>32</v>
      </c>
      <c r="M4" s="3" t="s">
        <v>192</v>
      </c>
      <c r="N4" s="3" t="s">
        <v>297</v>
      </c>
      <c r="O4" s="3">
        <v>0</v>
      </c>
      <c r="P4" s="3">
        <v>0</v>
      </c>
    </row>
    <row r="5" spans="2:16" x14ac:dyDescent="0.25">
      <c r="B5" s="3" t="s">
        <v>311</v>
      </c>
      <c r="C5" s="3"/>
      <c r="D5" s="3">
        <v>0</v>
      </c>
      <c r="F5" s="3"/>
      <c r="G5" s="3">
        <v>0</v>
      </c>
      <c r="I5" s="3" t="s">
        <v>311</v>
      </c>
      <c r="J5" s="3">
        <v>0</v>
      </c>
      <c r="L5" s="3" t="s">
        <v>33</v>
      </c>
      <c r="M5" s="3" t="s">
        <v>130</v>
      </c>
      <c r="N5" s="3" t="s">
        <v>297</v>
      </c>
      <c r="O5" s="3">
        <v>0</v>
      </c>
      <c r="P5" s="3">
        <v>0</v>
      </c>
    </row>
    <row r="6" spans="2:16" x14ac:dyDescent="0.25">
      <c r="L6" s="3" t="s">
        <v>34</v>
      </c>
      <c r="M6" s="3" t="s">
        <v>88</v>
      </c>
      <c r="N6" s="3" t="s">
        <v>297</v>
      </c>
      <c r="O6" s="3">
        <v>0</v>
      </c>
      <c r="P6" s="3">
        <v>0</v>
      </c>
    </row>
    <row r="7" spans="2:16" x14ac:dyDescent="0.25">
      <c r="B7" s="2" t="s">
        <v>330</v>
      </c>
      <c r="C7" s="2" t="s">
        <v>301</v>
      </c>
      <c r="D7" s="2"/>
      <c r="F7" s="2" t="s">
        <v>301</v>
      </c>
      <c r="G7" s="2"/>
      <c r="I7" s="2" t="s">
        <v>423</v>
      </c>
      <c r="J7" s="2"/>
      <c r="L7" s="3" t="s">
        <v>35</v>
      </c>
      <c r="M7" s="3" t="s">
        <v>138</v>
      </c>
      <c r="N7" s="3" t="s">
        <v>297</v>
      </c>
      <c r="O7" s="3">
        <v>0</v>
      </c>
      <c r="P7" s="3">
        <v>0</v>
      </c>
    </row>
    <row r="8" spans="2:16" x14ac:dyDescent="0.25">
      <c r="B8" s="3" t="s">
        <v>299</v>
      </c>
      <c r="C8" s="3" t="s">
        <v>302</v>
      </c>
      <c r="D8" s="3">
        <v>4</v>
      </c>
      <c r="F8" s="3" t="s">
        <v>335</v>
      </c>
      <c r="G8" s="3">
        <v>2</v>
      </c>
      <c r="I8" s="3" t="s">
        <v>27</v>
      </c>
      <c r="J8" s="3">
        <v>1</v>
      </c>
      <c r="L8" s="3" t="s">
        <v>36</v>
      </c>
      <c r="M8" s="3" t="s">
        <v>88</v>
      </c>
      <c r="N8" s="3" t="s">
        <v>296</v>
      </c>
      <c r="O8" s="3">
        <v>2</v>
      </c>
      <c r="P8" s="3">
        <v>1</v>
      </c>
    </row>
    <row r="9" spans="2:16" x14ac:dyDescent="0.25">
      <c r="B9" s="3" t="s">
        <v>336</v>
      </c>
      <c r="C9" s="117" t="s">
        <v>474</v>
      </c>
      <c r="D9" s="3">
        <v>4</v>
      </c>
      <c r="F9" s="3" t="s">
        <v>410</v>
      </c>
      <c r="G9" s="3">
        <v>2</v>
      </c>
      <c r="I9" s="3" t="s">
        <v>28</v>
      </c>
      <c r="J9" s="3">
        <v>0</v>
      </c>
      <c r="L9" s="3" t="s">
        <v>37</v>
      </c>
      <c r="M9" s="3" t="s">
        <v>88</v>
      </c>
      <c r="N9" s="3" t="s">
        <v>297</v>
      </c>
      <c r="O9" s="3">
        <v>0</v>
      </c>
      <c r="P9" s="3">
        <v>0</v>
      </c>
    </row>
    <row r="10" spans="2:16" x14ac:dyDescent="0.25">
      <c r="B10" s="3" t="s">
        <v>298</v>
      </c>
      <c r="C10" s="3" t="s">
        <v>312</v>
      </c>
      <c r="D10" s="3">
        <v>4</v>
      </c>
      <c r="F10" s="3" t="s">
        <v>333</v>
      </c>
      <c r="G10" s="3">
        <v>2</v>
      </c>
      <c r="I10" s="3" t="s">
        <v>311</v>
      </c>
      <c r="J10" s="3">
        <v>0</v>
      </c>
      <c r="L10" s="3" t="s">
        <v>38</v>
      </c>
      <c r="M10" s="3" t="s">
        <v>130</v>
      </c>
      <c r="N10" s="3" t="s">
        <v>297</v>
      </c>
      <c r="O10" s="3">
        <v>0</v>
      </c>
      <c r="P10" s="3">
        <v>0</v>
      </c>
    </row>
    <row r="11" spans="2:16" ht="75" x14ac:dyDescent="0.25">
      <c r="B11" s="3" t="s">
        <v>28</v>
      </c>
      <c r="C11" s="27" t="s">
        <v>325</v>
      </c>
      <c r="D11" s="3">
        <v>0</v>
      </c>
      <c r="F11" s="27" t="s">
        <v>411</v>
      </c>
      <c r="G11" s="3">
        <v>0</v>
      </c>
      <c r="I11" s="27"/>
      <c r="J11" s="3"/>
      <c r="L11" s="3" t="s">
        <v>89</v>
      </c>
      <c r="M11" s="3" t="s">
        <v>251</v>
      </c>
      <c r="N11" s="3" t="s">
        <v>297</v>
      </c>
      <c r="O11" s="3">
        <v>0</v>
      </c>
      <c r="P11" s="3">
        <v>0</v>
      </c>
    </row>
    <row r="12" spans="2:16" ht="75" x14ac:dyDescent="0.25">
      <c r="B12" s="3" t="s">
        <v>311</v>
      </c>
      <c r="C12" s="3"/>
      <c r="D12" s="3">
        <v>0</v>
      </c>
      <c r="F12" s="27" t="s">
        <v>411</v>
      </c>
      <c r="G12" s="3">
        <v>0</v>
      </c>
      <c r="I12" s="27"/>
      <c r="J12" s="3"/>
      <c r="L12" s="3" t="s">
        <v>39</v>
      </c>
      <c r="M12" s="3" t="s">
        <v>251</v>
      </c>
      <c r="N12" s="3" t="s">
        <v>297</v>
      </c>
      <c r="O12" s="3">
        <v>0</v>
      </c>
      <c r="P12" s="3">
        <v>0</v>
      </c>
    </row>
    <row r="13" spans="2:16" x14ac:dyDescent="0.25">
      <c r="B13" s="3" t="s">
        <v>27</v>
      </c>
      <c r="C13" s="27"/>
      <c r="D13" s="3">
        <v>2</v>
      </c>
      <c r="L13" s="3" t="s">
        <v>232</v>
      </c>
      <c r="M13" s="3" t="s">
        <v>251</v>
      </c>
      <c r="N13" s="3" t="s">
        <v>297</v>
      </c>
      <c r="O13" s="3">
        <v>0</v>
      </c>
      <c r="P13" s="3">
        <v>0</v>
      </c>
    </row>
    <row r="14" spans="2:16" x14ac:dyDescent="0.25">
      <c r="F14" s="2" t="s">
        <v>301</v>
      </c>
      <c r="G14" s="2"/>
      <c r="I14" s="2"/>
      <c r="J14" s="2"/>
      <c r="L14" s="3" t="s">
        <v>40</v>
      </c>
      <c r="M14" s="3" t="s">
        <v>192</v>
      </c>
      <c r="N14" s="3" t="s">
        <v>297</v>
      </c>
      <c r="O14" s="3">
        <v>0</v>
      </c>
      <c r="P14" s="3">
        <v>0</v>
      </c>
    </row>
    <row r="15" spans="2:16" x14ac:dyDescent="0.25">
      <c r="B15" s="2" t="s">
        <v>317</v>
      </c>
      <c r="C15" s="2" t="s">
        <v>301</v>
      </c>
      <c r="D15" s="2"/>
      <c r="F15" s="3" t="s">
        <v>321</v>
      </c>
      <c r="G15" s="3">
        <v>2</v>
      </c>
      <c r="I15" s="3"/>
      <c r="J15" s="3"/>
      <c r="L15" s="3" t="s">
        <v>41</v>
      </c>
      <c r="M15" s="3" t="s">
        <v>287</v>
      </c>
      <c r="N15" s="3" t="s">
        <v>297</v>
      </c>
      <c r="O15" s="3">
        <v>0</v>
      </c>
      <c r="P15" s="3">
        <v>0</v>
      </c>
    </row>
    <row r="16" spans="2:16" x14ac:dyDescent="0.25">
      <c r="B16" s="3" t="s">
        <v>310</v>
      </c>
      <c r="C16" s="3" t="s">
        <v>321</v>
      </c>
      <c r="D16" s="3">
        <v>2</v>
      </c>
      <c r="F16" s="3"/>
      <c r="G16" s="3">
        <v>1</v>
      </c>
      <c r="I16" s="3"/>
      <c r="J16" s="3"/>
      <c r="L16" s="3" t="s">
        <v>42</v>
      </c>
      <c r="M16" s="3" t="s">
        <v>192</v>
      </c>
      <c r="N16" s="3" t="s">
        <v>297</v>
      </c>
      <c r="O16" s="3">
        <v>0</v>
      </c>
      <c r="P16" s="3">
        <v>0</v>
      </c>
    </row>
    <row r="17" spans="2:16" x14ac:dyDescent="0.25">
      <c r="B17" s="3" t="s">
        <v>318</v>
      </c>
      <c r="C17" s="3"/>
      <c r="D17" s="3">
        <v>1</v>
      </c>
      <c r="F17" s="3"/>
      <c r="G17" s="3">
        <v>2</v>
      </c>
      <c r="I17" s="3"/>
      <c r="J17" s="3"/>
      <c r="L17" s="3" t="s">
        <v>90</v>
      </c>
      <c r="M17" s="3" t="s">
        <v>251</v>
      </c>
      <c r="N17" s="3" t="s">
        <v>297</v>
      </c>
      <c r="O17" s="3">
        <v>0</v>
      </c>
      <c r="P17" s="3">
        <v>0</v>
      </c>
    </row>
    <row r="18" spans="2:16" x14ac:dyDescent="0.25">
      <c r="B18" s="3" t="s">
        <v>319</v>
      </c>
      <c r="C18" s="3"/>
      <c r="D18" s="3">
        <v>2</v>
      </c>
      <c r="F18" s="27"/>
      <c r="G18" s="3">
        <v>0</v>
      </c>
      <c r="I18" s="27"/>
      <c r="J18" s="3"/>
      <c r="L18" s="3" t="s">
        <v>43</v>
      </c>
      <c r="M18" s="3" t="s">
        <v>277</v>
      </c>
      <c r="N18" s="3" t="s">
        <v>297</v>
      </c>
      <c r="O18" s="3">
        <v>0</v>
      </c>
      <c r="P18" s="3">
        <v>0</v>
      </c>
    </row>
    <row r="19" spans="2:16" x14ac:dyDescent="0.25">
      <c r="B19" s="3" t="s">
        <v>320</v>
      </c>
      <c r="C19" s="27"/>
      <c r="D19" s="3">
        <v>0</v>
      </c>
      <c r="L19" s="3" t="s">
        <v>44</v>
      </c>
      <c r="M19" s="3" t="s">
        <v>88</v>
      </c>
      <c r="N19" s="3" t="s">
        <v>296</v>
      </c>
      <c r="O19" s="3">
        <v>2</v>
      </c>
      <c r="P19" s="3">
        <v>1</v>
      </c>
    </row>
    <row r="20" spans="2:16" x14ac:dyDescent="0.25">
      <c r="L20" s="3" t="s">
        <v>174</v>
      </c>
      <c r="M20" s="3" t="s">
        <v>192</v>
      </c>
      <c r="N20" s="3" t="s">
        <v>297</v>
      </c>
      <c r="O20" s="3">
        <v>0</v>
      </c>
      <c r="P20" s="3">
        <v>0</v>
      </c>
    </row>
    <row r="21" spans="2:16" x14ac:dyDescent="0.25">
      <c r="L21" s="3" t="s">
        <v>91</v>
      </c>
      <c r="M21" s="3" t="s">
        <v>251</v>
      </c>
      <c r="N21" s="3" t="s">
        <v>297</v>
      </c>
      <c r="O21" s="3">
        <v>0</v>
      </c>
      <c r="P21" s="3">
        <v>0</v>
      </c>
    </row>
    <row r="22" spans="2:16" x14ac:dyDescent="0.25">
      <c r="L22" s="3" t="s">
        <v>175</v>
      </c>
      <c r="M22" s="3" t="s">
        <v>192</v>
      </c>
      <c r="N22" s="3" t="s">
        <v>297</v>
      </c>
      <c r="O22" s="3">
        <v>0</v>
      </c>
      <c r="P22" s="3">
        <v>0</v>
      </c>
    </row>
    <row r="23" spans="2:16" x14ac:dyDescent="0.25">
      <c r="L23" s="3" t="s">
        <v>69</v>
      </c>
      <c r="M23" s="3" t="s">
        <v>173</v>
      </c>
      <c r="N23" s="3" t="s">
        <v>297</v>
      </c>
      <c r="O23" s="3">
        <v>0</v>
      </c>
      <c r="P23" s="3">
        <v>0</v>
      </c>
    </row>
    <row r="24" spans="2:16" x14ac:dyDescent="0.25">
      <c r="L24" s="3" t="s">
        <v>233</v>
      </c>
      <c r="M24" s="3" t="s">
        <v>251</v>
      </c>
      <c r="N24" s="3" t="s">
        <v>297</v>
      </c>
      <c r="O24" s="3">
        <v>0</v>
      </c>
      <c r="P24" s="3">
        <v>0</v>
      </c>
    </row>
    <row r="25" spans="2:16" x14ac:dyDescent="0.25">
      <c r="B25" s="2" t="s">
        <v>338</v>
      </c>
      <c r="C25" s="2" t="s">
        <v>339</v>
      </c>
      <c r="L25" s="3" t="s">
        <v>194</v>
      </c>
      <c r="M25" s="3" t="s">
        <v>88</v>
      </c>
      <c r="N25" s="3" t="s">
        <v>297</v>
      </c>
      <c r="O25" s="3">
        <v>0</v>
      </c>
      <c r="P25" s="3">
        <v>0</v>
      </c>
    </row>
    <row r="26" spans="2:16" x14ac:dyDescent="0.25">
      <c r="B26" s="3" t="s">
        <v>381</v>
      </c>
      <c r="C26" s="3">
        <v>4.8000000000000001E-4</v>
      </c>
      <c r="L26" s="3" t="s">
        <v>195</v>
      </c>
      <c r="M26" s="3" t="s">
        <v>88</v>
      </c>
      <c r="N26" s="3" t="s">
        <v>296</v>
      </c>
      <c r="O26" s="3">
        <v>2</v>
      </c>
      <c r="P26" s="3">
        <v>1</v>
      </c>
    </row>
    <row r="27" spans="2:16" x14ac:dyDescent="0.25">
      <c r="B27" s="3" t="s">
        <v>383</v>
      </c>
      <c r="C27" s="3">
        <v>2.64E-3</v>
      </c>
      <c r="L27" s="3" t="s">
        <v>96</v>
      </c>
      <c r="M27" s="3" t="s">
        <v>252</v>
      </c>
      <c r="N27" s="3" t="s">
        <v>297</v>
      </c>
      <c r="O27" s="3">
        <v>0</v>
      </c>
      <c r="P27" s="3">
        <v>0</v>
      </c>
    </row>
    <row r="28" spans="2:16" x14ac:dyDescent="0.25">
      <c r="B28" s="3" t="s">
        <v>384</v>
      </c>
      <c r="C28" s="3">
        <v>2.5500000000000002E-3</v>
      </c>
      <c r="L28" s="3" t="s">
        <v>139</v>
      </c>
      <c r="M28" s="3" t="s">
        <v>155</v>
      </c>
      <c r="N28" s="3" t="s">
        <v>297</v>
      </c>
      <c r="O28" s="3">
        <v>0</v>
      </c>
      <c r="P28" s="3">
        <v>0</v>
      </c>
    </row>
    <row r="29" spans="2:16" x14ac:dyDescent="0.25">
      <c r="B29" s="3" t="s">
        <v>385</v>
      </c>
      <c r="C29" s="3">
        <v>1.8799999999999999E-3</v>
      </c>
      <c r="L29" s="3" t="s">
        <v>234</v>
      </c>
      <c r="M29" s="3" t="s">
        <v>251</v>
      </c>
      <c r="N29" s="3" t="s">
        <v>297</v>
      </c>
      <c r="O29" s="3">
        <v>0</v>
      </c>
      <c r="P29" s="3">
        <v>0</v>
      </c>
    </row>
    <row r="30" spans="2:16" x14ac:dyDescent="0.25">
      <c r="B30" s="3" t="s">
        <v>386</v>
      </c>
      <c r="C30" s="3">
        <v>1.14E-3</v>
      </c>
      <c r="L30" s="3" t="s">
        <v>163</v>
      </c>
      <c r="M30" s="3" t="s">
        <v>173</v>
      </c>
      <c r="N30" s="3" t="s">
        <v>297</v>
      </c>
      <c r="O30" s="3">
        <v>0</v>
      </c>
      <c r="P30" s="3">
        <v>0</v>
      </c>
    </row>
    <row r="31" spans="2:16" x14ac:dyDescent="0.25">
      <c r="B31" s="3" t="s">
        <v>387</v>
      </c>
      <c r="C31" s="3">
        <v>8.7000000000000001E-4</v>
      </c>
      <c r="L31" s="3" t="s">
        <v>278</v>
      </c>
      <c r="M31" s="3" t="s">
        <v>287</v>
      </c>
      <c r="N31" s="3" t="s">
        <v>297</v>
      </c>
      <c r="O31" s="3">
        <v>0</v>
      </c>
      <c r="P31" s="3">
        <v>0</v>
      </c>
    </row>
    <row r="32" spans="2:16" x14ac:dyDescent="0.25">
      <c r="B32" s="3" t="s">
        <v>388</v>
      </c>
      <c r="C32" s="3">
        <v>1.08E-3</v>
      </c>
      <c r="L32" s="3" t="s">
        <v>196</v>
      </c>
      <c r="M32" s="3" t="s">
        <v>88</v>
      </c>
      <c r="N32" s="3" t="s">
        <v>297</v>
      </c>
      <c r="O32" s="3">
        <v>0</v>
      </c>
      <c r="P32" s="3">
        <v>0</v>
      </c>
    </row>
    <row r="33" spans="2:16" x14ac:dyDescent="0.25">
      <c r="B33" s="3" t="s">
        <v>389</v>
      </c>
      <c r="C33" s="3">
        <v>7.9000000000000001E-4</v>
      </c>
      <c r="L33" s="3" t="s">
        <v>46</v>
      </c>
      <c r="M33" s="3" t="s">
        <v>130</v>
      </c>
      <c r="N33" s="3" t="s">
        <v>297</v>
      </c>
      <c r="O33" s="3">
        <v>0</v>
      </c>
      <c r="P33" s="3">
        <v>0</v>
      </c>
    </row>
    <row r="34" spans="2:16" x14ac:dyDescent="0.25">
      <c r="B34" s="3" t="s">
        <v>390</v>
      </c>
      <c r="C34" s="3">
        <v>6.9999999999999999E-4</v>
      </c>
      <c r="L34" s="3" t="s">
        <v>279</v>
      </c>
      <c r="M34" s="3" t="s">
        <v>287</v>
      </c>
      <c r="N34" s="3" t="s">
        <v>297</v>
      </c>
      <c r="O34" s="3">
        <v>0</v>
      </c>
      <c r="P34" s="3">
        <v>0</v>
      </c>
    </row>
    <row r="35" spans="2:16" x14ac:dyDescent="0.25">
      <c r="B35" s="3" t="s">
        <v>391</v>
      </c>
      <c r="C35" s="3">
        <v>6.4999999999999997E-4</v>
      </c>
      <c r="L35" s="3" t="s">
        <v>164</v>
      </c>
      <c r="M35" s="3" t="s">
        <v>173</v>
      </c>
      <c r="N35" s="3" t="s">
        <v>297</v>
      </c>
      <c r="O35" s="3">
        <v>0</v>
      </c>
      <c r="P35" s="3">
        <v>0</v>
      </c>
    </row>
    <row r="36" spans="2:16" x14ac:dyDescent="0.25">
      <c r="B36" s="3" t="s">
        <v>392</v>
      </c>
      <c r="C36" s="3">
        <v>5.0000000000000001E-4</v>
      </c>
      <c r="L36" s="3" t="s">
        <v>197</v>
      </c>
      <c r="M36" s="3" t="s">
        <v>88</v>
      </c>
      <c r="N36" s="3" t="s">
        <v>296</v>
      </c>
      <c r="O36" s="3">
        <v>2</v>
      </c>
      <c r="P36" s="3">
        <v>1</v>
      </c>
    </row>
    <row r="37" spans="2:16" x14ac:dyDescent="0.25">
      <c r="B37" s="3" t="s">
        <v>393</v>
      </c>
      <c r="C37" s="3">
        <v>4.8000000000000001E-4</v>
      </c>
      <c r="L37" s="3" t="s">
        <v>58</v>
      </c>
      <c r="M37" s="3" t="s">
        <v>155</v>
      </c>
      <c r="N37" s="3" t="s">
        <v>297</v>
      </c>
      <c r="O37" s="3">
        <v>0</v>
      </c>
      <c r="P37" s="3">
        <v>0</v>
      </c>
    </row>
    <row r="38" spans="2:16" x14ac:dyDescent="0.25">
      <c r="L38" s="3" t="s">
        <v>62</v>
      </c>
      <c r="M38" s="3" t="s">
        <v>155</v>
      </c>
      <c r="N38" s="3" t="s">
        <v>297</v>
      </c>
      <c r="O38" s="3">
        <v>0</v>
      </c>
      <c r="P38" s="3">
        <v>0</v>
      </c>
    </row>
    <row r="39" spans="2:16" x14ac:dyDescent="0.25">
      <c r="B39" s="2" t="s">
        <v>340</v>
      </c>
      <c r="C39" s="2" t="s">
        <v>339</v>
      </c>
      <c r="L39" s="3" t="s">
        <v>165</v>
      </c>
      <c r="M39" s="3" t="s">
        <v>173</v>
      </c>
      <c r="N39" s="3" t="s">
        <v>297</v>
      </c>
      <c r="O39" s="3">
        <v>0</v>
      </c>
      <c r="P39" s="3">
        <v>0</v>
      </c>
    </row>
    <row r="40" spans="2:16" x14ac:dyDescent="0.25">
      <c r="B40" s="3" t="s">
        <v>366</v>
      </c>
      <c r="C40" s="3">
        <v>2.9000000000000001E-2</v>
      </c>
      <c r="L40" s="3" t="s">
        <v>140</v>
      </c>
      <c r="M40" s="3" t="s">
        <v>155</v>
      </c>
      <c r="N40" s="3" t="s">
        <v>297</v>
      </c>
      <c r="O40" s="3">
        <v>0</v>
      </c>
      <c r="P40" s="3">
        <v>0</v>
      </c>
    </row>
    <row r="41" spans="2:16" x14ac:dyDescent="0.25">
      <c r="B41" s="3" t="s">
        <v>367</v>
      </c>
      <c r="C41" s="3">
        <v>0.77100000000000002</v>
      </c>
      <c r="L41" s="3" t="s">
        <v>103</v>
      </c>
      <c r="M41" s="3" t="s">
        <v>257</v>
      </c>
      <c r="N41" s="3" t="s">
        <v>297</v>
      </c>
      <c r="O41" s="3">
        <v>0</v>
      </c>
      <c r="P41" s="3">
        <v>0</v>
      </c>
    </row>
    <row r="42" spans="2:16" x14ac:dyDescent="0.25">
      <c r="B42" s="3" t="s">
        <v>368</v>
      </c>
      <c r="C42" s="3">
        <v>0.67300000000000004</v>
      </c>
      <c r="L42" s="3" t="s">
        <v>141</v>
      </c>
      <c r="M42" s="3" t="s">
        <v>155</v>
      </c>
      <c r="N42" s="3" t="s">
        <v>297</v>
      </c>
      <c r="O42" s="3">
        <v>0</v>
      </c>
      <c r="P42" s="3">
        <v>0</v>
      </c>
    </row>
    <row r="43" spans="2:16" x14ac:dyDescent="0.25">
      <c r="B43" s="3" t="s">
        <v>369</v>
      </c>
      <c r="C43" s="3">
        <v>0.503</v>
      </c>
      <c r="L43" s="3" t="s">
        <v>280</v>
      </c>
      <c r="M43" s="3" t="s">
        <v>287</v>
      </c>
      <c r="N43" s="3" t="s">
        <v>297</v>
      </c>
      <c r="O43" s="3">
        <v>0</v>
      </c>
      <c r="P43" s="3">
        <v>0</v>
      </c>
    </row>
    <row r="44" spans="2:16" x14ac:dyDescent="0.25">
      <c r="B44" s="3" t="s">
        <v>370</v>
      </c>
      <c r="C44" s="3">
        <v>0.45100000000000001</v>
      </c>
      <c r="L44" s="3" t="s">
        <v>157</v>
      </c>
      <c r="M44" s="3" t="s">
        <v>162</v>
      </c>
      <c r="N44" s="3" t="s">
        <v>297</v>
      </c>
      <c r="O44" s="3">
        <v>0</v>
      </c>
      <c r="P44" s="3">
        <v>0</v>
      </c>
    </row>
    <row r="45" spans="2:16" x14ac:dyDescent="0.25">
      <c r="B45" s="3" t="s">
        <v>371</v>
      </c>
      <c r="C45" s="3">
        <v>0.49299999999999999</v>
      </c>
      <c r="L45" s="3" t="s">
        <v>176</v>
      </c>
      <c r="M45" s="3" t="s">
        <v>192</v>
      </c>
      <c r="N45" s="3" t="s">
        <v>296</v>
      </c>
      <c r="O45" s="3">
        <v>2</v>
      </c>
      <c r="P45" s="3">
        <v>1</v>
      </c>
    </row>
    <row r="46" spans="2:16" x14ac:dyDescent="0.25">
      <c r="B46" s="3" t="s">
        <v>372</v>
      </c>
      <c r="C46" s="3">
        <v>0.33700000000000002</v>
      </c>
      <c r="L46" s="3" t="s">
        <v>281</v>
      </c>
      <c r="M46" s="3" t="s">
        <v>287</v>
      </c>
      <c r="N46" s="3" t="s">
        <v>297</v>
      </c>
      <c r="O46" s="3">
        <v>0</v>
      </c>
      <c r="P46" s="3">
        <v>0</v>
      </c>
    </row>
    <row r="47" spans="2:16" x14ac:dyDescent="0.25">
      <c r="B47" s="3" t="s">
        <v>373</v>
      </c>
      <c r="C47" s="3">
        <v>0.32800000000000001</v>
      </c>
      <c r="L47" s="3" t="s">
        <v>121</v>
      </c>
      <c r="M47" s="3" t="s">
        <v>130</v>
      </c>
      <c r="N47" s="3" t="s">
        <v>297</v>
      </c>
      <c r="O47" s="3">
        <v>0</v>
      </c>
      <c r="P47" s="3">
        <v>0</v>
      </c>
    </row>
    <row r="48" spans="2:16" x14ac:dyDescent="0.25">
      <c r="B48" s="3" t="s">
        <v>374</v>
      </c>
      <c r="C48" s="3">
        <v>0.28199999999999997</v>
      </c>
      <c r="L48" s="3" t="s">
        <v>63</v>
      </c>
      <c r="M48" s="3" t="s">
        <v>155</v>
      </c>
      <c r="N48" s="3" t="s">
        <v>297</v>
      </c>
      <c r="O48" s="3">
        <v>0</v>
      </c>
      <c r="P48" s="3">
        <v>0</v>
      </c>
    </row>
    <row r="49" spans="2:16" x14ac:dyDescent="0.25">
      <c r="B49" s="3" t="s">
        <v>375</v>
      </c>
      <c r="C49" s="3">
        <v>0.192</v>
      </c>
      <c r="L49" s="3" t="s">
        <v>97</v>
      </c>
      <c r="M49" s="3" t="s">
        <v>252</v>
      </c>
      <c r="N49" s="3" t="s">
        <v>297</v>
      </c>
      <c r="O49" s="3">
        <v>0</v>
      </c>
      <c r="P49" s="3">
        <v>0</v>
      </c>
    </row>
    <row r="50" spans="2:16" x14ac:dyDescent="0.25">
      <c r="B50" s="3" t="s">
        <v>376</v>
      </c>
      <c r="C50" s="3">
        <v>0.14299999999999999</v>
      </c>
      <c r="L50" s="3" t="s">
        <v>142</v>
      </c>
      <c r="M50" s="3" t="s">
        <v>155</v>
      </c>
      <c r="N50" s="3" t="s">
        <v>297</v>
      </c>
      <c r="O50" s="3">
        <v>0</v>
      </c>
      <c r="P50" s="3">
        <v>0</v>
      </c>
    </row>
    <row r="51" spans="2:16" x14ac:dyDescent="0.25">
      <c r="B51" s="3" t="s">
        <v>377</v>
      </c>
      <c r="C51" s="3">
        <v>7.3999999999999996E-2</v>
      </c>
      <c r="L51" s="3" t="s">
        <v>198</v>
      </c>
      <c r="M51" s="3" t="s">
        <v>88</v>
      </c>
      <c r="N51" s="3" t="s">
        <v>297</v>
      </c>
      <c r="O51" s="3">
        <v>0</v>
      </c>
      <c r="P51" s="3">
        <v>0</v>
      </c>
    </row>
    <row r="52" spans="2:16" x14ac:dyDescent="0.25">
      <c r="B52" s="3" t="s">
        <v>378</v>
      </c>
      <c r="C52" s="3">
        <v>7.0999999999999994E-2</v>
      </c>
      <c r="L52" s="3" t="s">
        <v>92</v>
      </c>
      <c r="M52" s="3" t="s">
        <v>251</v>
      </c>
      <c r="N52" s="3" t="s">
        <v>297</v>
      </c>
      <c r="O52" s="3">
        <v>0</v>
      </c>
      <c r="P52" s="3">
        <v>0</v>
      </c>
    </row>
    <row r="53" spans="2:16" x14ac:dyDescent="0.25">
      <c r="B53" s="3" t="s">
        <v>379</v>
      </c>
      <c r="C53" s="3">
        <v>6.3E-2</v>
      </c>
      <c r="L53" s="3" t="s">
        <v>199</v>
      </c>
      <c r="M53" s="3" t="s">
        <v>88</v>
      </c>
      <c r="N53" s="3" t="s">
        <v>296</v>
      </c>
      <c r="O53" s="3">
        <v>2</v>
      </c>
      <c r="P53" s="3">
        <v>1</v>
      </c>
    </row>
    <row r="54" spans="2:16" x14ac:dyDescent="0.25">
      <c r="B54" s="3" t="s">
        <v>341</v>
      </c>
      <c r="C54" s="3">
        <v>2.9000000000000001E-2</v>
      </c>
      <c r="L54" s="3" t="s">
        <v>59</v>
      </c>
      <c r="M54" s="3" t="s">
        <v>130</v>
      </c>
      <c r="N54" s="3" t="s">
        <v>297</v>
      </c>
      <c r="O54" s="3">
        <v>0</v>
      </c>
      <c r="P54" s="3">
        <v>0</v>
      </c>
    </row>
    <row r="55" spans="2:16" x14ac:dyDescent="0.25">
      <c r="L55" s="3" t="s">
        <v>235</v>
      </c>
      <c r="M55" s="3" t="s">
        <v>251</v>
      </c>
      <c r="N55" s="3" t="s">
        <v>297</v>
      </c>
      <c r="O55" s="3">
        <v>0</v>
      </c>
      <c r="P55" s="3">
        <v>0</v>
      </c>
    </row>
    <row r="56" spans="2:16" x14ac:dyDescent="0.25">
      <c r="L56" s="3" t="s">
        <v>131</v>
      </c>
      <c r="M56" s="3" t="s">
        <v>138</v>
      </c>
      <c r="N56" s="3" t="s">
        <v>297</v>
      </c>
      <c r="O56" s="3">
        <v>0</v>
      </c>
      <c r="P56" s="3">
        <v>0</v>
      </c>
    </row>
    <row r="57" spans="2:16" x14ac:dyDescent="0.25">
      <c r="L57" s="3" t="s">
        <v>98</v>
      </c>
      <c r="M57" s="3" t="s">
        <v>252</v>
      </c>
      <c r="N57" s="3" t="s">
        <v>297</v>
      </c>
      <c r="O57" s="3">
        <v>0</v>
      </c>
      <c r="P57" s="3">
        <v>0</v>
      </c>
    </row>
    <row r="58" spans="2:16" x14ac:dyDescent="0.25">
      <c r="L58" s="3" t="s">
        <v>177</v>
      </c>
      <c r="M58" s="3" t="s">
        <v>192</v>
      </c>
      <c r="N58" s="3" t="s">
        <v>297</v>
      </c>
      <c r="O58" s="3">
        <v>0</v>
      </c>
      <c r="P58" s="3">
        <v>0</v>
      </c>
    </row>
    <row r="59" spans="2:16" x14ac:dyDescent="0.25">
      <c r="L59" s="3" t="s">
        <v>282</v>
      </c>
      <c r="M59" s="3" t="s">
        <v>287</v>
      </c>
      <c r="N59" s="3" t="s">
        <v>297</v>
      </c>
      <c r="O59" s="3">
        <v>0</v>
      </c>
      <c r="P59" s="3">
        <v>0</v>
      </c>
    </row>
    <row r="60" spans="2:16" x14ac:dyDescent="0.25">
      <c r="L60" s="3" t="s">
        <v>122</v>
      </c>
      <c r="M60" s="3" t="s">
        <v>130</v>
      </c>
      <c r="N60" s="3" t="s">
        <v>297</v>
      </c>
      <c r="O60" s="3">
        <v>0</v>
      </c>
      <c r="P60" s="3">
        <v>0</v>
      </c>
    </row>
    <row r="61" spans="2:16" x14ac:dyDescent="0.25">
      <c r="L61" s="3" t="s">
        <v>200</v>
      </c>
      <c r="M61" s="3" t="s">
        <v>88</v>
      </c>
      <c r="N61" s="3" t="s">
        <v>296</v>
      </c>
      <c r="O61" s="3">
        <v>2</v>
      </c>
      <c r="P61" s="3">
        <v>1</v>
      </c>
    </row>
    <row r="62" spans="2:16" x14ac:dyDescent="0.25">
      <c r="L62" s="3" t="s">
        <v>201</v>
      </c>
      <c r="M62" s="3" t="s">
        <v>88</v>
      </c>
      <c r="N62" s="3" t="s">
        <v>296</v>
      </c>
      <c r="O62" s="3">
        <v>2</v>
      </c>
      <c r="P62" s="3">
        <v>1</v>
      </c>
    </row>
    <row r="63" spans="2:16" x14ac:dyDescent="0.25">
      <c r="L63" s="3" t="s">
        <v>253</v>
      </c>
      <c r="M63" s="3" t="s">
        <v>257</v>
      </c>
      <c r="N63" s="3" t="s">
        <v>297</v>
      </c>
      <c r="O63" s="3">
        <v>0</v>
      </c>
      <c r="P63" s="3">
        <v>0</v>
      </c>
    </row>
    <row r="64" spans="2:16" x14ac:dyDescent="0.25">
      <c r="L64" s="3" t="s">
        <v>123</v>
      </c>
      <c r="M64" s="3" t="s">
        <v>130</v>
      </c>
      <c r="N64" s="3" t="s">
        <v>297</v>
      </c>
      <c r="O64" s="3">
        <v>0</v>
      </c>
      <c r="P64" s="3">
        <v>0</v>
      </c>
    </row>
    <row r="65" spans="12:16" x14ac:dyDescent="0.25">
      <c r="L65" s="3" t="s">
        <v>202</v>
      </c>
      <c r="M65" s="3" t="s">
        <v>88</v>
      </c>
      <c r="N65" s="3" t="s">
        <v>297</v>
      </c>
      <c r="O65" s="3">
        <v>0</v>
      </c>
      <c r="P65" s="3">
        <v>0</v>
      </c>
    </row>
    <row r="66" spans="12:16" x14ac:dyDescent="0.25">
      <c r="L66" s="3" t="s">
        <v>203</v>
      </c>
      <c r="M66" s="3" t="s">
        <v>88</v>
      </c>
      <c r="N66" s="3" t="s">
        <v>297</v>
      </c>
      <c r="O66" s="3">
        <v>0</v>
      </c>
      <c r="P66" s="3">
        <v>0</v>
      </c>
    </row>
    <row r="67" spans="12:16" x14ac:dyDescent="0.25">
      <c r="L67" s="3" t="s">
        <v>259</v>
      </c>
      <c r="M67" s="3" t="s">
        <v>277</v>
      </c>
      <c r="N67" s="3" t="s">
        <v>297</v>
      </c>
      <c r="O67" s="3">
        <v>0</v>
      </c>
      <c r="P67" s="3">
        <v>0</v>
      </c>
    </row>
    <row r="68" spans="12:16" x14ac:dyDescent="0.25">
      <c r="L68" s="3" t="s">
        <v>204</v>
      </c>
      <c r="M68" s="3" t="s">
        <v>88</v>
      </c>
      <c r="N68" s="3" t="s">
        <v>296</v>
      </c>
      <c r="O68" s="3">
        <v>2</v>
      </c>
      <c r="P68" s="3">
        <v>1</v>
      </c>
    </row>
    <row r="69" spans="12:16" x14ac:dyDescent="0.25">
      <c r="L69" s="3" t="s">
        <v>81</v>
      </c>
      <c r="M69" s="3" t="s">
        <v>88</v>
      </c>
      <c r="N69" s="3" t="s">
        <v>296</v>
      </c>
      <c r="O69" s="3">
        <v>2</v>
      </c>
      <c r="P69" s="3">
        <v>1</v>
      </c>
    </row>
    <row r="70" spans="12:16" x14ac:dyDescent="0.25">
      <c r="L70" s="3" t="s">
        <v>64</v>
      </c>
      <c r="M70" s="3" t="s">
        <v>155</v>
      </c>
      <c r="N70" s="3" t="s">
        <v>297</v>
      </c>
      <c r="O70" s="3">
        <v>0</v>
      </c>
      <c r="P70" s="3">
        <v>0</v>
      </c>
    </row>
    <row r="71" spans="12:16" x14ac:dyDescent="0.25">
      <c r="L71" s="3" t="s">
        <v>143</v>
      </c>
      <c r="M71" s="3" t="s">
        <v>155</v>
      </c>
      <c r="N71" s="3" t="s">
        <v>297</v>
      </c>
      <c r="O71" s="3">
        <v>0</v>
      </c>
      <c r="P71" s="3">
        <v>0</v>
      </c>
    </row>
    <row r="72" spans="12:16" x14ac:dyDescent="0.25">
      <c r="L72" s="3" t="s">
        <v>178</v>
      </c>
      <c r="M72" s="3" t="s">
        <v>192</v>
      </c>
      <c r="N72" s="3" t="s">
        <v>297</v>
      </c>
      <c r="O72" s="3">
        <v>0</v>
      </c>
      <c r="P72" s="3">
        <v>0</v>
      </c>
    </row>
    <row r="73" spans="12:16" x14ac:dyDescent="0.25">
      <c r="L73" s="3" t="s">
        <v>65</v>
      </c>
      <c r="M73" s="3" t="s">
        <v>155</v>
      </c>
      <c r="N73" s="3" t="s">
        <v>297</v>
      </c>
      <c r="O73" s="3">
        <v>0</v>
      </c>
      <c r="P73" s="3">
        <v>0</v>
      </c>
    </row>
    <row r="74" spans="12:16" x14ac:dyDescent="0.25">
      <c r="L74" s="3" t="s">
        <v>82</v>
      </c>
      <c r="M74" s="3" t="s">
        <v>88</v>
      </c>
      <c r="N74" s="3" t="s">
        <v>297</v>
      </c>
      <c r="O74" s="3">
        <v>0</v>
      </c>
      <c r="P74" s="3">
        <v>0</v>
      </c>
    </row>
    <row r="75" spans="12:16" x14ac:dyDescent="0.25">
      <c r="L75" s="3" t="s">
        <v>205</v>
      </c>
      <c r="M75" s="3" t="s">
        <v>88</v>
      </c>
      <c r="N75" s="3" t="s">
        <v>296</v>
      </c>
      <c r="O75" s="3">
        <v>2</v>
      </c>
      <c r="P75" s="3">
        <v>1</v>
      </c>
    </row>
    <row r="76" spans="12:16" x14ac:dyDescent="0.25">
      <c r="L76" s="3" t="s">
        <v>236</v>
      </c>
      <c r="M76" s="3" t="s">
        <v>251</v>
      </c>
      <c r="N76" s="3" t="s">
        <v>297</v>
      </c>
      <c r="O76" s="3">
        <v>0</v>
      </c>
      <c r="P76" s="3">
        <v>0</v>
      </c>
    </row>
    <row r="77" spans="12:16" x14ac:dyDescent="0.25">
      <c r="L77" s="3" t="s">
        <v>254</v>
      </c>
      <c r="M77" s="3" t="s">
        <v>257</v>
      </c>
      <c r="N77" s="3" t="s">
        <v>297</v>
      </c>
      <c r="O77" s="3">
        <v>0</v>
      </c>
      <c r="P77" s="3">
        <v>0</v>
      </c>
    </row>
    <row r="78" spans="12:16" x14ac:dyDescent="0.25">
      <c r="L78" s="3" t="s">
        <v>93</v>
      </c>
      <c r="M78" s="3" t="s">
        <v>251</v>
      </c>
      <c r="N78" s="3" t="s">
        <v>296</v>
      </c>
      <c r="O78" s="3">
        <v>2</v>
      </c>
      <c r="P78" s="3">
        <v>1</v>
      </c>
    </row>
    <row r="79" spans="12:16" x14ac:dyDescent="0.25">
      <c r="L79" s="3" t="s">
        <v>104</v>
      </c>
      <c r="M79" s="3" t="s">
        <v>277</v>
      </c>
      <c r="N79" s="3" t="s">
        <v>297</v>
      </c>
      <c r="O79" s="3">
        <v>0</v>
      </c>
      <c r="P79" s="3">
        <v>0</v>
      </c>
    </row>
    <row r="80" spans="12:16" x14ac:dyDescent="0.25">
      <c r="L80" s="3" t="s">
        <v>99</v>
      </c>
      <c r="M80" s="3" t="s">
        <v>252</v>
      </c>
      <c r="N80" s="3" t="s">
        <v>297</v>
      </c>
      <c r="O80" s="3">
        <v>0</v>
      </c>
      <c r="P80" s="3">
        <v>0</v>
      </c>
    </row>
    <row r="81" spans="12:16" x14ac:dyDescent="0.25">
      <c r="L81" s="3" t="s">
        <v>206</v>
      </c>
      <c r="M81" s="3" t="s">
        <v>88</v>
      </c>
      <c r="N81" s="3" t="s">
        <v>297</v>
      </c>
      <c r="O81" s="3">
        <v>0</v>
      </c>
      <c r="P81" s="3">
        <v>0</v>
      </c>
    </row>
    <row r="82" spans="12:16" x14ac:dyDescent="0.25">
      <c r="L82" s="3" t="s">
        <v>144</v>
      </c>
      <c r="M82" s="3" t="s">
        <v>155</v>
      </c>
      <c r="N82" s="3" t="s">
        <v>297</v>
      </c>
      <c r="O82" s="3">
        <v>0</v>
      </c>
      <c r="P82" s="3">
        <v>0</v>
      </c>
    </row>
    <row r="83" spans="12:16" x14ac:dyDescent="0.25">
      <c r="L83" s="3" t="s">
        <v>145</v>
      </c>
      <c r="M83" s="3" t="s">
        <v>155</v>
      </c>
      <c r="N83" s="3" t="s">
        <v>297</v>
      </c>
      <c r="O83" s="3">
        <v>0</v>
      </c>
      <c r="P83" s="3">
        <v>0</v>
      </c>
    </row>
    <row r="84" spans="12:16" x14ac:dyDescent="0.25">
      <c r="L84" s="3" t="s">
        <v>146</v>
      </c>
      <c r="M84" s="3" t="s">
        <v>155</v>
      </c>
      <c r="N84" s="3" t="s">
        <v>297</v>
      </c>
      <c r="O84" s="3">
        <v>0</v>
      </c>
      <c r="P84" s="3">
        <v>0</v>
      </c>
    </row>
    <row r="85" spans="12:16" x14ac:dyDescent="0.25">
      <c r="L85" s="3" t="s">
        <v>110</v>
      </c>
      <c r="M85" s="3" t="s">
        <v>287</v>
      </c>
      <c r="N85" s="3" t="s">
        <v>297</v>
      </c>
      <c r="O85" s="3">
        <v>0</v>
      </c>
      <c r="P85" s="3">
        <v>0</v>
      </c>
    </row>
    <row r="86" spans="12:16" x14ac:dyDescent="0.25">
      <c r="L86" s="3" t="s">
        <v>283</v>
      </c>
      <c r="M86" s="3" t="s">
        <v>287</v>
      </c>
      <c r="N86" s="3" t="s">
        <v>296</v>
      </c>
      <c r="O86" s="3">
        <v>2</v>
      </c>
      <c r="P86" s="3">
        <v>1</v>
      </c>
    </row>
    <row r="87" spans="12:16" x14ac:dyDescent="0.25">
      <c r="L87" s="3" t="s">
        <v>237</v>
      </c>
      <c r="M87" s="3" t="s">
        <v>251</v>
      </c>
      <c r="N87" s="3" t="s">
        <v>297</v>
      </c>
      <c r="O87" s="3">
        <v>0</v>
      </c>
      <c r="P87" s="3">
        <v>0</v>
      </c>
    </row>
    <row r="88" spans="12:16" x14ac:dyDescent="0.25">
      <c r="L88" s="3" t="s">
        <v>100</v>
      </c>
      <c r="M88" s="3" t="s">
        <v>252</v>
      </c>
      <c r="N88" s="3" t="s">
        <v>297</v>
      </c>
      <c r="O88" s="3">
        <v>0</v>
      </c>
      <c r="P88" s="3">
        <v>0</v>
      </c>
    </row>
    <row r="89" spans="12:16" x14ac:dyDescent="0.25">
      <c r="L89" s="3" t="s">
        <v>207</v>
      </c>
      <c r="M89" s="3" t="s">
        <v>88</v>
      </c>
      <c r="N89" s="3" t="s">
        <v>296</v>
      </c>
      <c r="O89" s="3">
        <v>2</v>
      </c>
      <c r="P89" s="3">
        <v>1</v>
      </c>
    </row>
    <row r="90" spans="12:16" x14ac:dyDescent="0.25">
      <c r="L90" s="3" t="s">
        <v>208</v>
      </c>
      <c r="M90" s="3" t="s">
        <v>88</v>
      </c>
      <c r="N90" s="3" t="s">
        <v>297</v>
      </c>
      <c r="O90" s="3">
        <v>0</v>
      </c>
      <c r="P90" s="3">
        <v>0</v>
      </c>
    </row>
    <row r="91" spans="12:16" x14ac:dyDescent="0.25">
      <c r="L91" s="3" t="s">
        <v>260</v>
      </c>
      <c r="M91" s="3" t="s">
        <v>277</v>
      </c>
      <c r="N91" s="3" t="s">
        <v>297</v>
      </c>
      <c r="O91" s="3">
        <v>0</v>
      </c>
      <c r="P91" s="3">
        <v>0</v>
      </c>
    </row>
    <row r="92" spans="12:16" x14ac:dyDescent="0.25">
      <c r="L92" s="3" t="s">
        <v>209</v>
      </c>
      <c r="M92" s="3" t="s">
        <v>88</v>
      </c>
      <c r="N92" s="3" t="s">
        <v>297</v>
      </c>
      <c r="O92" s="3">
        <v>0</v>
      </c>
      <c r="P92" s="3">
        <v>0</v>
      </c>
    </row>
    <row r="93" spans="12:16" x14ac:dyDescent="0.25">
      <c r="L93" s="3" t="s">
        <v>261</v>
      </c>
      <c r="M93" s="3" t="s">
        <v>277</v>
      </c>
      <c r="N93" s="3" t="s">
        <v>297</v>
      </c>
      <c r="O93" s="3">
        <v>0</v>
      </c>
      <c r="P93" s="3">
        <v>0</v>
      </c>
    </row>
    <row r="94" spans="12:16" x14ac:dyDescent="0.25">
      <c r="L94" s="3" t="s">
        <v>238</v>
      </c>
      <c r="M94" s="3" t="s">
        <v>251</v>
      </c>
      <c r="N94" s="3" t="s">
        <v>297</v>
      </c>
      <c r="O94" s="3">
        <v>0</v>
      </c>
      <c r="P94" s="3">
        <v>0</v>
      </c>
    </row>
    <row r="95" spans="12:16" x14ac:dyDescent="0.25">
      <c r="L95" s="3" t="s">
        <v>262</v>
      </c>
      <c r="M95" s="3" t="s">
        <v>277</v>
      </c>
      <c r="N95" s="3" t="s">
        <v>297</v>
      </c>
      <c r="O95" s="3">
        <v>0</v>
      </c>
      <c r="P95" s="3">
        <v>0</v>
      </c>
    </row>
    <row r="96" spans="12:16" x14ac:dyDescent="0.25">
      <c r="L96" s="3" t="s">
        <v>284</v>
      </c>
      <c r="M96" s="3" t="s">
        <v>287</v>
      </c>
      <c r="N96" s="3" t="s">
        <v>297</v>
      </c>
      <c r="O96" s="3">
        <v>0</v>
      </c>
      <c r="P96" s="3">
        <v>0</v>
      </c>
    </row>
    <row r="97" spans="12:16" x14ac:dyDescent="0.25">
      <c r="L97" s="3" t="s">
        <v>263</v>
      </c>
      <c r="M97" s="3" t="s">
        <v>277</v>
      </c>
      <c r="N97" s="3" t="s">
        <v>297</v>
      </c>
      <c r="O97" s="3">
        <v>0</v>
      </c>
      <c r="P97" s="3">
        <v>0</v>
      </c>
    </row>
    <row r="98" spans="12:16" x14ac:dyDescent="0.25">
      <c r="L98" s="3" t="s">
        <v>264</v>
      </c>
      <c r="M98" s="3" t="s">
        <v>277</v>
      </c>
      <c r="N98" s="3" t="s">
        <v>297</v>
      </c>
      <c r="O98" s="3">
        <v>0</v>
      </c>
      <c r="P98" s="3">
        <v>0</v>
      </c>
    </row>
    <row r="99" spans="12:16" x14ac:dyDescent="0.25">
      <c r="L99" s="3" t="s">
        <v>265</v>
      </c>
      <c r="M99" s="3" t="s">
        <v>277</v>
      </c>
      <c r="N99" s="3" t="s">
        <v>297</v>
      </c>
      <c r="O99" s="3">
        <v>0</v>
      </c>
      <c r="P99" s="3">
        <v>0</v>
      </c>
    </row>
    <row r="100" spans="12:16" x14ac:dyDescent="0.25">
      <c r="L100" s="3" t="s">
        <v>210</v>
      </c>
      <c r="M100" s="3" t="s">
        <v>88</v>
      </c>
      <c r="N100" s="3" t="s">
        <v>297</v>
      </c>
      <c r="O100" s="3">
        <v>0</v>
      </c>
      <c r="P100" s="3">
        <v>0</v>
      </c>
    </row>
    <row r="101" spans="12:16" x14ac:dyDescent="0.25">
      <c r="L101" s="3" t="s">
        <v>239</v>
      </c>
      <c r="M101" s="3" t="s">
        <v>251</v>
      </c>
      <c r="N101" s="3" t="s">
        <v>297</v>
      </c>
      <c r="O101" s="3">
        <v>0</v>
      </c>
      <c r="P101" s="3">
        <v>0</v>
      </c>
    </row>
    <row r="102" spans="12:16" x14ac:dyDescent="0.25">
      <c r="L102" s="3" t="s">
        <v>240</v>
      </c>
      <c r="M102" s="3" t="s">
        <v>251</v>
      </c>
      <c r="N102" s="3" t="s">
        <v>297</v>
      </c>
      <c r="O102" s="3">
        <v>0</v>
      </c>
      <c r="P102" s="3">
        <v>0</v>
      </c>
    </row>
    <row r="103" spans="12:16" x14ac:dyDescent="0.25">
      <c r="L103" s="3" t="s">
        <v>241</v>
      </c>
      <c r="M103" s="3" t="s">
        <v>251</v>
      </c>
      <c r="N103" s="3" t="s">
        <v>297</v>
      </c>
      <c r="O103" s="3">
        <v>0</v>
      </c>
      <c r="P103" s="3">
        <v>0</v>
      </c>
    </row>
    <row r="104" spans="12:16" x14ac:dyDescent="0.25">
      <c r="L104" s="3" t="s">
        <v>266</v>
      </c>
      <c r="M104" s="3" t="s">
        <v>277</v>
      </c>
      <c r="N104" s="3" t="s">
        <v>297</v>
      </c>
      <c r="O104" s="3">
        <v>0</v>
      </c>
      <c r="P104" s="3">
        <v>0</v>
      </c>
    </row>
    <row r="105" spans="12:16" x14ac:dyDescent="0.25">
      <c r="L105" s="3" t="s">
        <v>166</v>
      </c>
      <c r="M105" s="3" t="s">
        <v>173</v>
      </c>
      <c r="N105" s="3" t="s">
        <v>297</v>
      </c>
      <c r="O105" s="3">
        <v>0</v>
      </c>
      <c r="P105" s="3">
        <v>0</v>
      </c>
    </row>
    <row r="106" spans="12:16" x14ac:dyDescent="0.25">
      <c r="L106" s="3" t="s">
        <v>167</v>
      </c>
      <c r="M106" s="3" t="s">
        <v>173</v>
      </c>
      <c r="N106" s="3" t="s">
        <v>297</v>
      </c>
      <c r="O106" s="3">
        <v>0</v>
      </c>
      <c r="P106" s="3">
        <v>0</v>
      </c>
    </row>
    <row r="107" spans="12:16" x14ac:dyDescent="0.25">
      <c r="L107" s="3" t="s">
        <v>179</v>
      </c>
      <c r="M107" s="3" t="s">
        <v>192</v>
      </c>
      <c r="N107" s="3" t="s">
        <v>297</v>
      </c>
      <c r="O107" s="3">
        <v>0</v>
      </c>
      <c r="P107" s="3">
        <v>0</v>
      </c>
    </row>
    <row r="108" spans="12:16" x14ac:dyDescent="0.25">
      <c r="L108" s="3" t="s">
        <v>77</v>
      </c>
      <c r="M108" s="3" t="s">
        <v>192</v>
      </c>
      <c r="N108" s="3" t="s">
        <v>297</v>
      </c>
      <c r="O108" s="3">
        <v>0</v>
      </c>
      <c r="P108" s="3">
        <v>0</v>
      </c>
    </row>
    <row r="109" spans="12:16" x14ac:dyDescent="0.25">
      <c r="L109" s="3" t="s">
        <v>211</v>
      </c>
      <c r="M109" s="3" t="s">
        <v>88</v>
      </c>
      <c r="N109" s="3" t="s">
        <v>296</v>
      </c>
      <c r="O109" s="3">
        <v>2</v>
      </c>
      <c r="P109" s="3">
        <v>1</v>
      </c>
    </row>
    <row r="110" spans="12:16" x14ac:dyDescent="0.25">
      <c r="L110" s="3" t="s">
        <v>212</v>
      </c>
      <c r="M110" s="3" t="s">
        <v>88</v>
      </c>
      <c r="N110" s="3" t="s">
        <v>297</v>
      </c>
      <c r="O110" s="3">
        <v>0</v>
      </c>
      <c r="P110" s="3">
        <v>0</v>
      </c>
    </row>
    <row r="111" spans="12:16" x14ac:dyDescent="0.25">
      <c r="L111" s="3" t="s">
        <v>180</v>
      </c>
      <c r="M111" s="3" t="s">
        <v>192</v>
      </c>
      <c r="N111" s="3" t="s">
        <v>297</v>
      </c>
      <c r="O111" s="3">
        <v>0</v>
      </c>
      <c r="P111" s="3">
        <v>0</v>
      </c>
    </row>
    <row r="112" spans="12:16" x14ac:dyDescent="0.25">
      <c r="L112" s="3" t="s">
        <v>213</v>
      </c>
      <c r="M112" s="3" t="s">
        <v>88</v>
      </c>
      <c r="N112" s="3" t="s">
        <v>296</v>
      </c>
      <c r="O112" s="3">
        <v>2</v>
      </c>
      <c r="P112" s="3">
        <v>1</v>
      </c>
    </row>
    <row r="113" spans="12:16" x14ac:dyDescent="0.25">
      <c r="L113" s="3" t="s">
        <v>132</v>
      </c>
      <c r="M113" s="3" t="s">
        <v>138</v>
      </c>
      <c r="N113" s="3" t="s">
        <v>297</v>
      </c>
      <c r="O113" s="3">
        <v>0</v>
      </c>
      <c r="P113" s="3">
        <v>0</v>
      </c>
    </row>
    <row r="114" spans="12:16" x14ac:dyDescent="0.25">
      <c r="L114" s="3" t="s">
        <v>242</v>
      </c>
      <c r="M114" s="3" t="s">
        <v>251</v>
      </c>
      <c r="N114" s="3" t="s">
        <v>297</v>
      </c>
      <c r="O114" s="3">
        <v>0</v>
      </c>
      <c r="P114" s="3">
        <v>0</v>
      </c>
    </row>
    <row r="115" spans="12:16" x14ac:dyDescent="0.25">
      <c r="L115" s="3" t="s">
        <v>158</v>
      </c>
      <c r="M115" s="3" t="s">
        <v>162</v>
      </c>
      <c r="N115" s="3" t="s">
        <v>297</v>
      </c>
      <c r="O115" s="3">
        <v>0</v>
      </c>
      <c r="P115" s="3">
        <v>0</v>
      </c>
    </row>
    <row r="116" spans="12:16" x14ac:dyDescent="0.25">
      <c r="L116" s="3" t="s">
        <v>214</v>
      </c>
      <c r="M116" s="3" t="s">
        <v>88</v>
      </c>
      <c r="N116" s="3" t="s">
        <v>297</v>
      </c>
      <c r="O116" s="3">
        <v>0</v>
      </c>
      <c r="P116" s="3">
        <v>0</v>
      </c>
    </row>
    <row r="117" spans="12:16" x14ac:dyDescent="0.25">
      <c r="L117" s="3" t="s">
        <v>181</v>
      </c>
      <c r="M117" s="3" t="s">
        <v>192</v>
      </c>
      <c r="N117" s="3" t="s">
        <v>297</v>
      </c>
      <c r="O117" s="3">
        <v>0</v>
      </c>
      <c r="P117" s="3">
        <v>0</v>
      </c>
    </row>
    <row r="118" spans="12:16" x14ac:dyDescent="0.25">
      <c r="L118" s="3" t="s">
        <v>78</v>
      </c>
      <c r="M118" s="3" t="s">
        <v>192</v>
      </c>
      <c r="N118" s="3" t="s">
        <v>297</v>
      </c>
      <c r="O118" s="3">
        <v>0</v>
      </c>
      <c r="P118" s="3">
        <v>0</v>
      </c>
    </row>
    <row r="119" spans="12:16" x14ac:dyDescent="0.25">
      <c r="L119" s="3" t="s">
        <v>48</v>
      </c>
      <c r="M119" s="3" t="s">
        <v>130</v>
      </c>
      <c r="N119" s="3" t="s">
        <v>297</v>
      </c>
      <c r="O119" s="3">
        <v>0</v>
      </c>
      <c r="P119" s="3">
        <v>0</v>
      </c>
    </row>
    <row r="120" spans="12:16" x14ac:dyDescent="0.25">
      <c r="L120" s="3" t="s">
        <v>182</v>
      </c>
      <c r="M120" s="3" t="s">
        <v>192</v>
      </c>
      <c r="N120" s="3" t="s">
        <v>297</v>
      </c>
      <c r="O120" s="3">
        <v>0</v>
      </c>
      <c r="P120" s="3">
        <v>0</v>
      </c>
    </row>
    <row r="121" spans="12:16" x14ac:dyDescent="0.25">
      <c r="L121" s="3" t="s">
        <v>105</v>
      </c>
      <c r="M121" s="3" t="s">
        <v>277</v>
      </c>
      <c r="N121" s="3" t="s">
        <v>297</v>
      </c>
      <c r="O121" s="3">
        <v>0</v>
      </c>
      <c r="P121" s="3">
        <v>0</v>
      </c>
    </row>
    <row r="122" spans="12:16" x14ac:dyDescent="0.25">
      <c r="L122" s="3" t="s">
        <v>183</v>
      </c>
      <c r="M122" s="3" t="s">
        <v>192</v>
      </c>
      <c r="N122" s="3" t="s">
        <v>297</v>
      </c>
      <c r="O122" s="3">
        <v>0</v>
      </c>
      <c r="P122" s="3">
        <v>0</v>
      </c>
    </row>
    <row r="123" spans="12:16" x14ac:dyDescent="0.25">
      <c r="L123" s="3" t="s">
        <v>49</v>
      </c>
      <c r="M123" s="3" t="s">
        <v>130</v>
      </c>
      <c r="N123" s="3" t="s">
        <v>297</v>
      </c>
      <c r="O123" s="3">
        <v>0</v>
      </c>
      <c r="P123" s="3">
        <v>0</v>
      </c>
    </row>
    <row r="124" spans="12:16" x14ac:dyDescent="0.25">
      <c r="L124" s="3" t="s">
        <v>215</v>
      </c>
      <c r="M124" s="3" t="s">
        <v>88</v>
      </c>
      <c r="N124" s="3" t="s">
        <v>296</v>
      </c>
      <c r="O124" s="3">
        <v>2</v>
      </c>
      <c r="P124" s="3">
        <v>1</v>
      </c>
    </row>
    <row r="125" spans="12:16" x14ac:dyDescent="0.25">
      <c r="L125" s="3" t="s">
        <v>184</v>
      </c>
      <c r="M125" s="3" t="s">
        <v>192</v>
      </c>
      <c r="N125" s="3" t="s">
        <v>297</v>
      </c>
      <c r="O125" s="3">
        <v>0</v>
      </c>
      <c r="P125" s="3">
        <v>0</v>
      </c>
    </row>
    <row r="126" spans="12:16" x14ac:dyDescent="0.25">
      <c r="L126" s="3" t="s">
        <v>147</v>
      </c>
      <c r="M126" s="3" t="s">
        <v>155</v>
      </c>
      <c r="N126" s="3" t="s">
        <v>297</v>
      </c>
      <c r="O126" s="3">
        <v>0</v>
      </c>
      <c r="P126" s="3">
        <v>0</v>
      </c>
    </row>
    <row r="127" spans="12:16" x14ac:dyDescent="0.25">
      <c r="L127" s="3" t="s">
        <v>83</v>
      </c>
      <c r="M127" s="3" t="s">
        <v>88</v>
      </c>
      <c r="N127" s="3" t="s">
        <v>297</v>
      </c>
      <c r="O127" s="3">
        <v>0</v>
      </c>
      <c r="P127" s="3">
        <v>0</v>
      </c>
    </row>
    <row r="128" spans="12:16" x14ac:dyDescent="0.25">
      <c r="L128" s="3" t="s">
        <v>216</v>
      </c>
      <c r="M128" s="3" t="s">
        <v>88</v>
      </c>
      <c r="N128" s="3" t="s">
        <v>296</v>
      </c>
      <c r="O128" s="3">
        <v>2</v>
      </c>
      <c r="P128" s="3">
        <v>1</v>
      </c>
    </row>
    <row r="129" spans="12:16" x14ac:dyDescent="0.25">
      <c r="L129" s="3" t="s">
        <v>84</v>
      </c>
      <c r="M129" s="3" t="s">
        <v>88</v>
      </c>
      <c r="N129" s="3" t="s">
        <v>296</v>
      </c>
      <c r="O129" s="3">
        <v>2</v>
      </c>
      <c r="P129" s="3">
        <v>1</v>
      </c>
    </row>
    <row r="130" spans="12:16" x14ac:dyDescent="0.25">
      <c r="L130" s="3" t="s">
        <v>50</v>
      </c>
      <c r="M130" s="3" t="s">
        <v>130</v>
      </c>
      <c r="N130" s="3" t="s">
        <v>297</v>
      </c>
      <c r="O130" s="3">
        <v>0</v>
      </c>
      <c r="P130" s="3">
        <v>0</v>
      </c>
    </row>
    <row r="131" spans="12:16" x14ac:dyDescent="0.25">
      <c r="L131" s="3" t="s">
        <v>168</v>
      </c>
      <c r="M131" s="3" t="s">
        <v>173</v>
      </c>
      <c r="N131" s="3" t="s">
        <v>297</v>
      </c>
      <c r="O131" s="3">
        <v>0</v>
      </c>
      <c r="P131" s="3">
        <v>0</v>
      </c>
    </row>
    <row r="132" spans="12:16" x14ac:dyDescent="0.25">
      <c r="L132" s="3" t="s">
        <v>51</v>
      </c>
      <c r="M132" s="3" t="s">
        <v>130</v>
      </c>
      <c r="N132" s="3" t="s">
        <v>297</v>
      </c>
      <c r="O132" s="3">
        <v>0</v>
      </c>
      <c r="P132" s="3">
        <v>0</v>
      </c>
    </row>
    <row r="133" spans="12:16" x14ac:dyDescent="0.25">
      <c r="L133" s="3" t="s">
        <v>70</v>
      </c>
      <c r="M133" s="3" t="s">
        <v>173</v>
      </c>
      <c r="N133" s="3" t="s">
        <v>297</v>
      </c>
      <c r="O133" s="3">
        <v>0</v>
      </c>
      <c r="P133" s="3">
        <v>0</v>
      </c>
    </row>
    <row r="134" spans="12:16" x14ac:dyDescent="0.25">
      <c r="L134" s="3" t="s">
        <v>60</v>
      </c>
      <c r="M134" s="3" t="s">
        <v>155</v>
      </c>
      <c r="N134" s="3" t="s">
        <v>297</v>
      </c>
      <c r="O134" s="3">
        <v>0</v>
      </c>
      <c r="P134" s="3">
        <v>0</v>
      </c>
    </row>
    <row r="135" spans="12:16" x14ac:dyDescent="0.25">
      <c r="L135" s="3" t="s">
        <v>217</v>
      </c>
      <c r="M135" s="3" t="s">
        <v>88</v>
      </c>
      <c r="N135" s="3" t="s">
        <v>296</v>
      </c>
      <c r="O135" s="3">
        <v>2</v>
      </c>
      <c r="P135" s="3">
        <v>1</v>
      </c>
    </row>
    <row r="136" spans="12:16" x14ac:dyDescent="0.25">
      <c r="L136" s="3" t="s">
        <v>133</v>
      </c>
      <c r="M136" s="3" t="s">
        <v>138</v>
      </c>
      <c r="N136" s="3" t="s">
        <v>297</v>
      </c>
      <c r="O136" s="3">
        <v>0</v>
      </c>
      <c r="P136" s="3">
        <v>0</v>
      </c>
    </row>
    <row r="137" spans="12:16" x14ac:dyDescent="0.25">
      <c r="L137" s="3" t="s">
        <v>94</v>
      </c>
      <c r="M137" s="3" t="s">
        <v>251</v>
      </c>
      <c r="N137" s="3" t="s">
        <v>296</v>
      </c>
      <c r="O137" s="3">
        <v>2</v>
      </c>
      <c r="P137" s="3">
        <v>1</v>
      </c>
    </row>
    <row r="138" spans="12:16" x14ac:dyDescent="0.25">
      <c r="L138" s="3" t="s">
        <v>124</v>
      </c>
      <c r="M138" s="3" t="s">
        <v>130</v>
      </c>
      <c r="N138" s="3" t="s">
        <v>297</v>
      </c>
      <c r="O138" s="3">
        <v>0</v>
      </c>
      <c r="P138" s="3">
        <v>0</v>
      </c>
    </row>
    <row r="139" spans="12:16" x14ac:dyDescent="0.25">
      <c r="L139" s="3" t="s">
        <v>134</v>
      </c>
      <c r="M139" s="3" t="s">
        <v>138</v>
      </c>
      <c r="N139" s="3" t="s">
        <v>297</v>
      </c>
      <c r="O139" s="3">
        <v>0</v>
      </c>
      <c r="P139" s="3">
        <v>0</v>
      </c>
    </row>
    <row r="140" spans="12:16" x14ac:dyDescent="0.25">
      <c r="L140" s="3" t="s">
        <v>52</v>
      </c>
      <c r="M140" s="3" t="s">
        <v>130</v>
      </c>
      <c r="N140" s="3" t="s">
        <v>297</v>
      </c>
      <c r="O140" s="3">
        <v>0</v>
      </c>
      <c r="P140" s="3">
        <v>0</v>
      </c>
    </row>
    <row r="141" spans="12:16" x14ac:dyDescent="0.25">
      <c r="L141" s="3" t="s">
        <v>255</v>
      </c>
      <c r="M141" s="3" t="s">
        <v>257</v>
      </c>
      <c r="N141" s="3" t="s">
        <v>297</v>
      </c>
      <c r="O141" s="3">
        <v>0</v>
      </c>
      <c r="P141" s="3">
        <v>0</v>
      </c>
    </row>
    <row r="142" spans="12:16" x14ac:dyDescent="0.25">
      <c r="L142" s="3" t="s">
        <v>267</v>
      </c>
      <c r="M142" s="3" t="s">
        <v>277</v>
      </c>
      <c r="N142" s="3" t="s">
        <v>297</v>
      </c>
      <c r="O142" s="3">
        <v>0</v>
      </c>
      <c r="P142" s="3">
        <v>0</v>
      </c>
    </row>
    <row r="143" spans="12:16" x14ac:dyDescent="0.25">
      <c r="L143" s="3" t="s">
        <v>85</v>
      </c>
      <c r="M143" s="3" t="s">
        <v>88</v>
      </c>
      <c r="N143" s="3" t="s">
        <v>297</v>
      </c>
      <c r="O143" s="3">
        <v>0</v>
      </c>
      <c r="P143" s="3">
        <v>0</v>
      </c>
    </row>
    <row r="144" spans="12:16" x14ac:dyDescent="0.25">
      <c r="L144" s="3" t="s">
        <v>159</v>
      </c>
      <c r="M144" s="3" t="s">
        <v>162</v>
      </c>
      <c r="N144" s="3" t="s">
        <v>297</v>
      </c>
      <c r="O144" s="3">
        <v>0</v>
      </c>
      <c r="P144" s="3">
        <v>0</v>
      </c>
    </row>
    <row r="145" spans="12:16" x14ac:dyDescent="0.25">
      <c r="L145" s="3" t="s">
        <v>218</v>
      </c>
      <c r="M145" s="3" t="s">
        <v>88</v>
      </c>
      <c r="N145" s="3" t="s">
        <v>297</v>
      </c>
      <c r="O145" s="3">
        <v>0</v>
      </c>
      <c r="P145" s="3">
        <v>0</v>
      </c>
    </row>
    <row r="146" spans="12:16" x14ac:dyDescent="0.25">
      <c r="L146" s="3" t="s">
        <v>95</v>
      </c>
      <c r="M146" s="3" t="s">
        <v>251</v>
      </c>
      <c r="N146" s="3" t="s">
        <v>297</v>
      </c>
      <c r="O146" s="3">
        <v>0</v>
      </c>
      <c r="P146" s="3">
        <v>0</v>
      </c>
    </row>
    <row r="147" spans="12:16" x14ac:dyDescent="0.25">
      <c r="L147" s="3" t="s">
        <v>53</v>
      </c>
      <c r="M147" s="3" t="s">
        <v>130</v>
      </c>
      <c r="N147" s="3" t="s">
        <v>297</v>
      </c>
      <c r="O147" s="3">
        <v>0</v>
      </c>
      <c r="P147" s="3">
        <v>0</v>
      </c>
    </row>
    <row r="148" spans="12:16" x14ac:dyDescent="0.25">
      <c r="L148" s="3" t="s">
        <v>71</v>
      </c>
      <c r="M148" s="3" t="s">
        <v>173</v>
      </c>
      <c r="N148" s="3" t="s">
        <v>297</v>
      </c>
      <c r="O148" s="3">
        <v>0</v>
      </c>
      <c r="P148" s="3">
        <v>0</v>
      </c>
    </row>
    <row r="149" spans="12:16" x14ac:dyDescent="0.25">
      <c r="L149" s="3" t="s">
        <v>125</v>
      </c>
      <c r="M149" s="3" t="s">
        <v>130</v>
      </c>
      <c r="N149" s="3" t="s">
        <v>297</v>
      </c>
      <c r="O149" s="3">
        <v>0</v>
      </c>
      <c r="P149" s="3">
        <v>0</v>
      </c>
    </row>
    <row r="150" spans="12:16" x14ac:dyDescent="0.25">
      <c r="L150" s="3" t="s">
        <v>106</v>
      </c>
      <c r="M150" s="3" t="s">
        <v>277</v>
      </c>
      <c r="N150" s="3" t="s">
        <v>297</v>
      </c>
      <c r="O150" s="3">
        <v>0</v>
      </c>
      <c r="P150" s="3">
        <v>0</v>
      </c>
    </row>
    <row r="151" spans="12:16" x14ac:dyDescent="0.25">
      <c r="L151" s="3" t="s">
        <v>169</v>
      </c>
      <c r="M151" s="3" t="s">
        <v>173</v>
      </c>
      <c r="N151" s="3" t="s">
        <v>297</v>
      </c>
      <c r="O151" s="3">
        <v>0</v>
      </c>
      <c r="P151" s="3">
        <v>0</v>
      </c>
    </row>
    <row r="152" spans="12:16" x14ac:dyDescent="0.25">
      <c r="L152" s="3" t="s">
        <v>101</v>
      </c>
      <c r="M152" s="3" t="s">
        <v>252</v>
      </c>
      <c r="N152" s="3" t="s">
        <v>297</v>
      </c>
      <c r="O152" s="3">
        <v>0</v>
      </c>
      <c r="P152" s="3">
        <v>0</v>
      </c>
    </row>
    <row r="153" spans="12:16" x14ac:dyDescent="0.25">
      <c r="L153" s="3" t="s">
        <v>61</v>
      </c>
      <c r="M153" s="3" t="s">
        <v>155</v>
      </c>
      <c r="N153" s="3" t="s">
        <v>297</v>
      </c>
      <c r="O153" s="3">
        <v>0</v>
      </c>
      <c r="P153" s="3">
        <v>0</v>
      </c>
    </row>
    <row r="154" spans="12:16" x14ac:dyDescent="0.25">
      <c r="L154" s="3" t="s">
        <v>148</v>
      </c>
      <c r="M154" s="3" t="s">
        <v>155</v>
      </c>
      <c r="N154" s="3" t="s">
        <v>297</v>
      </c>
      <c r="O154" s="3">
        <v>0</v>
      </c>
      <c r="P154" s="3">
        <v>0</v>
      </c>
    </row>
    <row r="155" spans="12:16" x14ac:dyDescent="0.25">
      <c r="L155" s="3" t="s">
        <v>268</v>
      </c>
      <c r="M155" s="3" t="s">
        <v>277</v>
      </c>
      <c r="N155" s="3" t="s">
        <v>297</v>
      </c>
      <c r="O155" s="3">
        <v>0</v>
      </c>
      <c r="P155" s="3">
        <v>0</v>
      </c>
    </row>
    <row r="156" spans="12:16" x14ac:dyDescent="0.25">
      <c r="L156" s="3" t="s">
        <v>219</v>
      </c>
      <c r="M156" s="3" t="s">
        <v>88</v>
      </c>
      <c r="N156" s="3" t="s">
        <v>297</v>
      </c>
      <c r="O156" s="3">
        <v>0</v>
      </c>
      <c r="P156" s="3">
        <v>0</v>
      </c>
    </row>
    <row r="157" spans="12:16" x14ac:dyDescent="0.25">
      <c r="L157" s="3" t="s">
        <v>269</v>
      </c>
      <c r="M157" s="3" t="s">
        <v>277</v>
      </c>
      <c r="N157" s="3" t="s">
        <v>297</v>
      </c>
      <c r="O157" s="3">
        <v>0</v>
      </c>
      <c r="P157" s="3">
        <v>0</v>
      </c>
    </row>
    <row r="158" spans="12:16" x14ac:dyDescent="0.25">
      <c r="L158" s="3" t="s">
        <v>270</v>
      </c>
      <c r="M158" s="3" t="s">
        <v>277</v>
      </c>
      <c r="N158" s="3" t="s">
        <v>297</v>
      </c>
      <c r="O158" s="3">
        <v>0</v>
      </c>
      <c r="P158" s="3">
        <v>0</v>
      </c>
    </row>
    <row r="159" spans="12:16" x14ac:dyDescent="0.25">
      <c r="L159" s="3" t="s">
        <v>79</v>
      </c>
      <c r="M159" s="3" t="s">
        <v>192</v>
      </c>
      <c r="N159" s="3" t="s">
        <v>297</v>
      </c>
      <c r="O159" s="3">
        <v>0</v>
      </c>
      <c r="P159" s="3">
        <v>0</v>
      </c>
    </row>
    <row r="160" spans="12:16" x14ac:dyDescent="0.25">
      <c r="L160" s="3" t="s">
        <v>126</v>
      </c>
      <c r="M160" s="3" t="s">
        <v>130</v>
      </c>
      <c r="N160" s="3" t="s">
        <v>297</v>
      </c>
      <c r="O160" s="3">
        <v>0</v>
      </c>
      <c r="P160" s="3">
        <v>0</v>
      </c>
    </row>
    <row r="161" spans="12:16" x14ac:dyDescent="0.25">
      <c r="L161" s="3" t="s">
        <v>185</v>
      </c>
      <c r="M161" s="3" t="s">
        <v>192</v>
      </c>
      <c r="N161" s="3" t="s">
        <v>297</v>
      </c>
      <c r="O161" s="3">
        <v>0</v>
      </c>
      <c r="P161" s="3">
        <v>0</v>
      </c>
    </row>
    <row r="162" spans="12:16" x14ac:dyDescent="0.25">
      <c r="L162" s="3" t="s">
        <v>72</v>
      </c>
      <c r="M162" s="3" t="s">
        <v>173</v>
      </c>
      <c r="N162" s="3" t="s">
        <v>297</v>
      </c>
      <c r="O162" s="3">
        <v>0</v>
      </c>
      <c r="P162" s="3">
        <v>0</v>
      </c>
    </row>
    <row r="163" spans="12:16" x14ac:dyDescent="0.25">
      <c r="L163" s="3" t="s">
        <v>271</v>
      </c>
      <c r="M163" s="3" t="s">
        <v>277</v>
      </c>
      <c r="N163" s="3" t="s">
        <v>297</v>
      </c>
      <c r="O163" s="3">
        <v>0</v>
      </c>
      <c r="P163" s="3">
        <v>0</v>
      </c>
    </row>
    <row r="164" spans="12:16" x14ac:dyDescent="0.25">
      <c r="L164" s="3" t="s">
        <v>102</v>
      </c>
      <c r="M164" s="3" t="s">
        <v>252</v>
      </c>
      <c r="N164" s="3" t="s">
        <v>297</v>
      </c>
      <c r="O164" s="3">
        <v>0</v>
      </c>
      <c r="P164" s="3">
        <v>0</v>
      </c>
    </row>
    <row r="165" spans="12:16" x14ac:dyDescent="0.25">
      <c r="L165" s="3" t="s">
        <v>272</v>
      </c>
      <c r="M165" s="3" t="s">
        <v>277</v>
      </c>
      <c r="N165" s="3" t="s">
        <v>297</v>
      </c>
      <c r="O165" s="3">
        <v>0</v>
      </c>
      <c r="P165" s="3">
        <v>0</v>
      </c>
    </row>
    <row r="166" spans="12:16" x14ac:dyDescent="0.25">
      <c r="L166" s="3" t="s">
        <v>111</v>
      </c>
      <c r="M166" s="3" t="s">
        <v>287</v>
      </c>
      <c r="N166" s="3" t="s">
        <v>297</v>
      </c>
      <c r="O166" s="3">
        <v>0</v>
      </c>
      <c r="P166" s="3">
        <v>0</v>
      </c>
    </row>
    <row r="167" spans="12:16" x14ac:dyDescent="0.25">
      <c r="L167" s="3" t="s">
        <v>220</v>
      </c>
      <c r="M167" s="3" t="s">
        <v>88</v>
      </c>
      <c r="N167" s="3" t="s">
        <v>296</v>
      </c>
      <c r="O167" s="3">
        <v>2</v>
      </c>
      <c r="P167" s="3">
        <v>1</v>
      </c>
    </row>
    <row r="168" spans="12:16" x14ac:dyDescent="0.25">
      <c r="L168" s="3" t="s">
        <v>285</v>
      </c>
      <c r="M168" s="3" t="s">
        <v>287</v>
      </c>
      <c r="N168" s="3" t="s">
        <v>297</v>
      </c>
      <c r="O168" s="3">
        <v>0</v>
      </c>
      <c r="P168" s="3">
        <v>0</v>
      </c>
    </row>
    <row r="169" spans="12:16" x14ac:dyDescent="0.25">
      <c r="L169" s="3" t="s">
        <v>73</v>
      </c>
      <c r="M169" s="3" t="s">
        <v>173</v>
      </c>
      <c r="N169" s="3" t="s">
        <v>297</v>
      </c>
      <c r="O169" s="3">
        <v>0</v>
      </c>
      <c r="P169" s="3">
        <v>0</v>
      </c>
    </row>
    <row r="170" spans="12:16" x14ac:dyDescent="0.25">
      <c r="L170" s="3" t="s">
        <v>221</v>
      </c>
      <c r="M170" s="3" t="s">
        <v>88</v>
      </c>
      <c r="N170" s="3" t="s">
        <v>296</v>
      </c>
      <c r="O170" s="3">
        <v>2</v>
      </c>
      <c r="P170" s="3">
        <v>1</v>
      </c>
    </row>
    <row r="171" spans="12:16" x14ac:dyDescent="0.25">
      <c r="L171" s="3" t="s">
        <v>273</v>
      </c>
      <c r="M171" s="3" t="s">
        <v>277</v>
      </c>
      <c r="N171" s="3" t="s">
        <v>297</v>
      </c>
      <c r="O171" s="3">
        <v>0</v>
      </c>
      <c r="P171" s="3">
        <v>0</v>
      </c>
    </row>
    <row r="172" spans="12:16" x14ac:dyDescent="0.25">
      <c r="L172" s="3" t="s">
        <v>243</v>
      </c>
      <c r="M172" s="3" t="s">
        <v>251</v>
      </c>
      <c r="N172" s="3" t="s">
        <v>297</v>
      </c>
      <c r="O172" s="3">
        <v>0</v>
      </c>
      <c r="P172" s="3">
        <v>0</v>
      </c>
    </row>
    <row r="173" spans="12:16" x14ac:dyDescent="0.25">
      <c r="L173" s="3" t="s">
        <v>86</v>
      </c>
      <c r="M173" s="3" t="s">
        <v>88</v>
      </c>
      <c r="N173" s="3" t="s">
        <v>296</v>
      </c>
      <c r="O173" s="3">
        <v>2</v>
      </c>
      <c r="P173" s="3">
        <v>1</v>
      </c>
    </row>
    <row r="174" spans="12:16" x14ac:dyDescent="0.25">
      <c r="L174" s="3" t="s">
        <v>80</v>
      </c>
      <c r="M174" s="3" t="s">
        <v>192</v>
      </c>
      <c r="N174" s="3" t="s">
        <v>297</v>
      </c>
      <c r="O174" s="3">
        <v>0</v>
      </c>
      <c r="P174" s="3">
        <v>0</v>
      </c>
    </row>
    <row r="175" spans="12:16" x14ac:dyDescent="0.25">
      <c r="L175" s="3" t="s">
        <v>186</v>
      </c>
      <c r="M175" s="3" t="s">
        <v>192</v>
      </c>
      <c r="N175" s="3" t="s">
        <v>297</v>
      </c>
      <c r="O175" s="3">
        <v>0</v>
      </c>
      <c r="P175" s="3">
        <v>0</v>
      </c>
    </row>
    <row r="176" spans="12:16" x14ac:dyDescent="0.25">
      <c r="L176" s="3" t="s">
        <v>149</v>
      </c>
      <c r="M176" s="3" t="s">
        <v>155</v>
      </c>
      <c r="N176" s="3" t="s">
        <v>297</v>
      </c>
      <c r="O176" s="3">
        <v>0</v>
      </c>
      <c r="P176" s="3">
        <v>0</v>
      </c>
    </row>
    <row r="177" spans="12:16" x14ac:dyDescent="0.25">
      <c r="L177" s="3" t="s">
        <v>160</v>
      </c>
      <c r="M177" s="3" t="s">
        <v>162</v>
      </c>
      <c r="N177" s="3" t="s">
        <v>297</v>
      </c>
      <c r="O177" s="3">
        <v>0</v>
      </c>
      <c r="P177" s="3">
        <v>0</v>
      </c>
    </row>
    <row r="178" spans="12:16" x14ac:dyDescent="0.25">
      <c r="L178" s="3" t="s">
        <v>222</v>
      </c>
      <c r="M178" s="3" t="s">
        <v>88</v>
      </c>
      <c r="N178" s="3" t="s">
        <v>297</v>
      </c>
      <c r="O178" s="3">
        <v>0</v>
      </c>
      <c r="P178" s="3">
        <v>0</v>
      </c>
    </row>
    <row r="179" spans="12:16" x14ac:dyDescent="0.25">
      <c r="L179" s="3" t="s">
        <v>150</v>
      </c>
      <c r="M179" s="3" t="s">
        <v>155</v>
      </c>
      <c r="N179" s="3" t="s">
        <v>297</v>
      </c>
      <c r="O179" s="3">
        <v>0</v>
      </c>
      <c r="P179" s="3">
        <v>0</v>
      </c>
    </row>
    <row r="180" spans="12:16" x14ac:dyDescent="0.25">
      <c r="L180" s="3" t="s">
        <v>170</v>
      </c>
      <c r="M180" s="3" t="s">
        <v>173</v>
      </c>
      <c r="N180" s="3" t="s">
        <v>297</v>
      </c>
      <c r="O180" s="3">
        <v>0</v>
      </c>
      <c r="P180" s="3">
        <v>0</v>
      </c>
    </row>
    <row r="181" spans="12:16" x14ac:dyDescent="0.25">
      <c r="L181" s="3" t="s">
        <v>244</v>
      </c>
      <c r="M181" s="3" t="s">
        <v>251</v>
      </c>
      <c r="N181" s="3" t="s">
        <v>297</v>
      </c>
      <c r="O181" s="3">
        <v>0</v>
      </c>
      <c r="P181" s="3">
        <v>0</v>
      </c>
    </row>
    <row r="182" spans="12:16" x14ac:dyDescent="0.25">
      <c r="L182" s="3" t="s">
        <v>161</v>
      </c>
      <c r="M182" s="3" t="s">
        <v>162</v>
      </c>
      <c r="N182" s="3" t="s">
        <v>297</v>
      </c>
      <c r="O182" s="3">
        <v>0</v>
      </c>
      <c r="P182" s="3">
        <v>0</v>
      </c>
    </row>
    <row r="183" spans="12:16" x14ac:dyDescent="0.25">
      <c r="L183" s="3" t="s">
        <v>223</v>
      </c>
      <c r="M183" s="3" t="s">
        <v>88</v>
      </c>
      <c r="N183" s="3" t="s">
        <v>296</v>
      </c>
      <c r="O183" s="3">
        <v>2</v>
      </c>
      <c r="P183" s="3">
        <v>1</v>
      </c>
    </row>
    <row r="184" spans="12:16" x14ac:dyDescent="0.25">
      <c r="L184" s="3" t="s">
        <v>127</v>
      </c>
      <c r="M184" s="3" t="s">
        <v>130</v>
      </c>
      <c r="N184" s="3" t="s">
        <v>297</v>
      </c>
      <c r="O184" s="3">
        <v>0</v>
      </c>
      <c r="P184" s="3">
        <v>0</v>
      </c>
    </row>
    <row r="185" spans="12:16" x14ac:dyDescent="0.25">
      <c r="L185" s="3" t="s">
        <v>54</v>
      </c>
      <c r="M185" s="3" t="s">
        <v>130</v>
      </c>
      <c r="N185" s="3" t="s">
        <v>296</v>
      </c>
      <c r="O185" s="3">
        <v>2</v>
      </c>
      <c r="P185" s="3">
        <v>1</v>
      </c>
    </row>
    <row r="186" spans="12:16" x14ac:dyDescent="0.25">
      <c r="L186" s="3" t="s">
        <v>224</v>
      </c>
      <c r="M186" s="3" t="s">
        <v>88</v>
      </c>
      <c r="N186" s="3" t="s">
        <v>296</v>
      </c>
      <c r="O186" s="3">
        <v>2</v>
      </c>
      <c r="P186" s="3">
        <v>1</v>
      </c>
    </row>
    <row r="187" spans="12:16" x14ac:dyDescent="0.25">
      <c r="L187" s="3" t="s">
        <v>225</v>
      </c>
      <c r="M187" s="3" t="s">
        <v>88</v>
      </c>
      <c r="N187" s="3" t="s">
        <v>296</v>
      </c>
      <c r="O187" s="3">
        <v>2</v>
      </c>
      <c r="P187" s="3">
        <v>1</v>
      </c>
    </row>
    <row r="188" spans="12:16" x14ac:dyDescent="0.25">
      <c r="L188" s="3" t="s">
        <v>66</v>
      </c>
      <c r="M188" s="3" t="s">
        <v>155</v>
      </c>
      <c r="N188" s="3" t="s">
        <v>297</v>
      </c>
      <c r="O188" s="3">
        <v>0</v>
      </c>
      <c r="P188" s="3">
        <v>0</v>
      </c>
    </row>
    <row r="189" spans="12:16" x14ac:dyDescent="0.25">
      <c r="L189" s="3" t="s">
        <v>135</v>
      </c>
      <c r="M189" s="3" t="s">
        <v>138</v>
      </c>
      <c r="N189" s="3" t="s">
        <v>297</v>
      </c>
      <c r="O189" s="3">
        <v>0</v>
      </c>
      <c r="P189" s="3">
        <v>0</v>
      </c>
    </row>
    <row r="190" spans="12:16" x14ac:dyDescent="0.25">
      <c r="L190" s="3" t="s">
        <v>245</v>
      </c>
      <c r="M190" s="3" t="s">
        <v>251</v>
      </c>
      <c r="N190" s="3" t="s">
        <v>297</v>
      </c>
      <c r="O190" s="3">
        <v>0</v>
      </c>
      <c r="P190" s="3">
        <v>0</v>
      </c>
    </row>
    <row r="191" spans="12:16" x14ac:dyDescent="0.25">
      <c r="L191" s="3" t="s">
        <v>151</v>
      </c>
      <c r="M191" s="3" t="s">
        <v>155</v>
      </c>
      <c r="N191" s="3" t="s">
        <v>297</v>
      </c>
      <c r="O191" s="3">
        <v>0</v>
      </c>
      <c r="P191" s="3">
        <v>0</v>
      </c>
    </row>
    <row r="192" spans="12:16" x14ac:dyDescent="0.25">
      <c r="L192" s="3" t="s">
        <v>29</v>
      </c>
      <c r="M192" s="3" t="s">
        <v>251</v>
      </c>
      <c r="N192" s="3" t="s">
        <v>297</v>
      </c>
      <c r="O192" s="3">
        <v>0</v>
      </c>
      <c r="P192" s="3">
        <v>0</v>
      </c>
    </row>
    <row r="193" spans="12:16" x14ac:dyDescent="0.25">
      <c r="L193" s="3" t="s">
        <v>247</v>
      </c>
      <c r="M193" s="3" t="s">
        <v>251</v>
      </c>
      <c r="N193" s="3" t="s">
        <v>297</v>
      </c>
      <c r="O193" s="3">
        <v>0</v>
      </c>
      <c r="P193" s="3">
        <v>0</v>
      </c>
    </row>
    <row r="194" spans="12:16" x14ac:dyDescent="0.25">
      <c r="L194" s="3" t="s">
        <v>30</v>
      </c>
      <c r="M194" s="3" t="s">
        <v>88</v>
      </c>
      <c r="N194" s="3" t="s">
        <v>297</v>
      </c>
      <c r="O194" s="3">
        <v>0</v>
      </c>
      <c r="P194" s="3">
        <v>0</v>
      </c>
    </row>
    <row r="195" spans="12:16" x14ac:dyDescent="0.25">
      <c r="L195" s="3" t="s">
        <v>248</v>
      </c>
      <c r="M195" s="3" t="s">
        <v>251</v>
      </c>
      <c r="N195" s="3" t="s">
        <v>296</v>
      </c>
      <c r="O195" s="3">
        <v>2</v>
      </c>
      <c r="P195" s="3">
        <v>1</v>
      </c>
    </row>
    <row r="196" spans="12:16" x14ac:dyDescent="0.25">
      <c r="L196" s="3" t="s">
        <v>256</v>
      </c>
      <c r="M196" s="3" t="s">
        <v>257</v>
      </c>
      <c r="N196" s="3" t="s">
        <v>297</v>
      </c>
      <c r="O196" s="3">
        <v>0</v>
      </c>
      <c r="P196" s="3">
        <v>0</v>
      </c>
    </row>
    <row r="197" spans="12:16" x14ac:dyDescent="0.25">
      <c r="L197" s="3" t="s">
        <v>226</v>
      </c>
      <c r="M197" s="3" t="s">
        <v>88</v>
      </c>
      <c r="N197" s="3" t="s">
        <v>297</v>
      </c>
      <c r="O197" s="3">
        <v>0</v>
      </c>
      <c r="P197" s="3">
        <v>0</v>
      </c>
    </row>
    <row r="198" spans="12:16" x14ac:dyDescent="0.25">
      <c r="L198" s="3" t="s">
        <v>249</v>
      </c>
      <c r="M198" s="3" t="s">
        <v>251</v>
      </c>
      <c r="N198" s="3" t="s">
        <v>297</v>
      </c>
      <c r="O198" s="3">
        <v>0</v>
      </c>
      <c r="P198" s="3">
        <v>0</v>
      </c>
    </row>
    <row r="199" spans="12:16" x14ac:dyDescent="0.25">
      <c r="L199" s="3" t="s">
        <v>107</v>
      </c>
      <c r="M199" s="3" t="s">
        <v>277</v>
      </c>
      <c r="N199" s="3" t="s">
        <v>297</v>
      </c>
      <c r="O199" s="3">
        <v>0</v>
      </c>
      <c r="P199" s="3">
        <v>0</v>
      </c>
    </row>
    <row r="200" spans="12:16" x14ac:dyDescent="0.25">
      <c r="L200" s="3" t="s">
        <v>275</v>
      </c>
      <c r="M200" s="3" t="s">
        <v>277</v>
      </c>
      <c r="N200" s="3" t="s">
        <v>297</v>
      </c>
      <c r="O200" s="3">
        <v>0</v>
      </c>
      <c r="P200" s="3">
        <v>0</v>
      </c>
    </row>
    <row r="201" spans="12:16" x14ac:dyDescent="0.25">
      <c r="L201" s="3" t="s">
        <v>152</v>
      </c>
      <c r="M201" s="3" t="s">
        <v>155</v>
      </c>
      <c r="N201" s="3" t="s">
        <v>297</v>
      </c>
      <c r="O201" s="3">
        <v>0</v>
      </c>
      <c r="P201" s="3">
        <v>0</v>
      </c>
    </row>
    <row r="202" spans="12:16" x14ac:dyDescent="0.25">
      <c r="L202" s="3" t="s">
        <v>153</v>
      </c>
      <c r="M202" s="3" t="s">
        <v>155</v>
      </c>
      <c r="N202" s="3" t="s">
        <v>297</v>
      </c>
      <c r="O202" s="3">
        <v>0</v>
      </c>
      <c r="P202" s="3">
        <v>0</v>
      </c>
    </row>
    <row r="203" spans="12:16" x14ac:dyDescent="0.25">
      <c r="L203" s="3" t="s">
        <v>227</v>
      </c>
      <c r="M203" s="3" t="s">
        <v>88</v>
      </c>
      <c r="N203" s="3" t="s">
        <v>297</v>
      </c>
      <c r="O203" s="3">
        <v>0</v>
      </c>
      <c r="P203" s="3">
        <v>0</v>
      </c>
    </row>
    <row r="204" spans="12:16" x14ac:dyDescent="0.25">
      <c r="L204" s="3" t="s">
        <v>55</v>
      </c>
      <c r="M204" s="3" t="s">
        <v>130</v>
      </c>
      <c r="N204" s="3" t="s">
        <v>297</v>
      </c>
      <c r="O204" s="3">
        <v>0</v>
      </c>
      <c r="P204" s="3">
        <v>0</v>
      </c>
    </row>
    <row r="205" spans="12:16" x14ac:dyDescent="0.25">
      <c r="L205" s="3" t="s">
        <v>67</v>
      </c>
      <c r="M205" s="3" t="s">
        <v>155</v>
      </c>
      <c r="N205" s="3" t="s">
        <v>297</v>
      </c>
      <c r="O205" s="3">
        <v>0</v>
      </c>
      <c r="P205" s="3">
        <v>0</v>
      </c>
    </row>
    <row r="206" spans="12:16" x14ac:dyDescent="0.25">
      <c r="L206" s="3" t="s">
        <v>171</v>
      </c>
      <c r="M206" s="3" t="s">
        <v>173</v>
      </c>
      <c r="N206" s="3" t="s">
        <v>297</v>
      </c>
      <c r="O206" s="3">
        <v>0</v>
      </c>
      <c r="P206" s="3">
        <v>0</v>
      </c>
    </row>
    <row r="207" spans="12:16" x14ac:dyDescent="0.25">
      <c r="L207" s="3" t="s">
        <v>228</v>
      </c>
      <c r="M207" s="3" t="s">
        <v>88</v>
      </c>
      <c r="N207" s="3" t="s">
        <v>296</v>
      </c>
      <c r="O207" s="3">
        <v>2</v>
      </c>
      <c r="P207" s="3">
        <v>1</v>
      </c>
    </row>
    <row r="208" spans="12:16" x14ac:dyDescent="0.25">
      <c r="L208" s="3" t="s">
        <v>229</v>
      </c>
      <c r="M208" s="3" t="s">
        <v>88</v>
      </c>
      <c r="N208" s="3" t="s">
        <v>296</v>
      </c>
      <c r="O208" s="3">
        <v>2</v>
      </c>
      <c r="P208" s="3">
        <v>1</v>
      </c>
    </row>
    <row r="209" spans="12:16" x14ac:dyDescent="0.25">
      <c r="L209" s="3" t="s">
        <v>128</v>
      </c>
      <c r="M209" s="3" t="s">
        <v>130</v>
      </c>
      <c r="N209" s="3" t="s">
        <v>297</v>
      </c>
      <c r="O209" s="3">
        <v>0</v>
      </c>
      <c r="P209" s="3">
        <v>0</v>
      </c>
    </row>
    <row r="210" spans="12:16" x14ac:dyDescent="0.25">
      <c r="L210" s="3" t="s">
        <v>136</v>
      </c>
      <c r="M210" s="3" t="s">
        <v>138</v>
      </c>
      <c r="N210" s="3" t="s">
        <v>297</v>
      </c>
      <c r="O210" s="3">
        <v>0</v>
      </c>
      <c r="P210" s="3">
        <v>0</v>
      </c>
    </row>
    <row r="211" spans="12:16" x14ac:dyDescent="0.25">
      <c r="L211" s="3" t="s">
        <v>74</v>
      </c>
      <c r="M211" s="3" t="s">
        <v>173</v>
      </c>
      <c r="N211" s="3" t="s">
        <v>297</v>
      </c>
      <c r="O211" s="3">
        <v>0</v>
      </c>
      <c r="P211" s="3">
        <v>0</v>
      </c>
    </row>
    <row r="212" spans="12:16" x14ac:dyDescent="0.25">
      <c r="L212" s="3" t="s">
        <v>230</v>
      </c>
      <c r="M212" s="3" t="s">
        <v>88</v>
      </c>
      <c r="N212" s="3" t="s">
        <v>296</v>
      </c>
      <c r="O212" s="3">
        <v>2</v>
      </c>
      <c r="P212" s="3">
        <v>1</v>
      </c>
    </row>
    <row r="213" spans="12:16" x14ac:dyDescent="0.25">
      <c r="L213" s="3" t="s">
        <v>231</v>
      </c>
      <c r="M213" s="3" t="s">
        <v>88</v>
      </c>
      <c r="N213" s="3" t="s">
        <v>297</v>
      </c>
      <c r="O213" s="3">
        <v>0</v>
      </c>
      <c r="P213" s="3">
        <v>0</v>
      </c>
    </row>
    <row r="214" spans="12:16" x14ac:dyDescent="0.25">
      <c r="L214" s="3" t="s">
        <v>112</v>
      </c>
      <c r="M214" s="3" t="s">
        <v>287</v>
      </c>
      <c r="N214" s="3" t="s">
        <v>297</v>
      </c>
      <c r="O214" s="3">
        <v>0</v>
      </c>
      <c r="P214" s="3">
        <v>0</v>
      </c>
    </row>
    <row r="215" spans="12:16" x14ac:dyDescent="0.25">
      <c r="L215" s="3" t="s">
        <v>56</v>
      </c>
      <c r="M215" s="3" t="s">
        <v>130</v>
      </c>
      <c r="N215" s="3" t="s">
        <v>297</v>
      </c>
      <c r="O215" s="3">
        <v>0</v>
      </c>
      <c r="P215" s="3">
        <v>0</v>
      </c>
    </row>
    <row r="216" spans="12:16" x14ac:dyDescent="0.25">
      <c r="L216" s="3" t="s">
        <v>187</v>
      </c>
      <c r="M216" s="3" t="s">
        <v>192</v>
      </c>
      <c r="N216" s="3" t="s">
        <v>297</v>
      </c>
      <c r="O216" s="3">
        <v>0</v>
      </c>
      <c r="P216" s="3">
        <v>0</v>
      </c>
    </row>
    <row r="217" spans="12:16" x14ac:dyDescent="0.25">
      <c r="L217" s="3" t="s">
        <v>154</v>
      </c>
      <c r="M217" s="3" t="s">
        <v>155</v>
      </c>
      <c r="N217" s="3" t="s">
        <v>297</v>
      </c>
      <c r="O217" s="3">
        <v>0</v>
      </c>
      <c r="P217" s="3">
        <v>0</v>
      </c>
    </row>
    <row r="218" spans="12:16" x14ac:dyDescent="0.25">
      <c r="L218" s="3" t="s">
        <v>188</v>
      </c>
      <c r="M218" s="3" t="s">
        <v>192</v>
      </c>
      <c r="N218" s="3" t="s">
        <v>297</v>
      </c>
      <c r="O218" s="3">
        <v>0</v>
      </c>
      <c r="P218" s="3">
        <v>0</v>
      </c>
    </row>
    <row r="219" spans="12:16" x14ac:dyDescent="0.25">
      <c r="L219" s="3" t="s">
        <v>172</v>
      </c>
      <c r="M219" s="3" t="s">
        <v>173</v>
      </c>
      <c r="N219" s="3" t="s">
        <v>297</v>
      </c>
      <c r="O219" s="3">
        <v>0</v>
      </c>
      <c r="P219" s="3">
        <v>0</v>
      </c>
    </row>
    <row r="220" spans="12:16" x14ac:dyDescent="0.25">
      <c r="L220" s="3" t="s">
        <v>75</v>
      </c>
      <c r="M220" s="3" t="s">
        <v>173</v>
      </c>
      <c r="N220" s="3" t="s">
        <v>297</v>
      </c>
      <c r="O220" s="3">
        <v>0</v>
      </c>
      <c r="P220" s="3">
        <v>0</v>
      </c>
    </row>
    <row r="221" spans="12:16" x14ac:dyDescent="0.25">
      <c r="L221" s="3" t="s">
        <v>68</v>
      </c>
      <c r="M221" s="3" t="s">
        <v>155</v>
      </c>
      <c r="N221" s="3" t="s">
        <v>297</v>
      </c>
      <c r="O221" s="3">
        <v>0</v>
      </c>
      <c r="P221" s="3">
        <v>0</v>
      </c>
    </row>
    <row r="222" spans="12:16" x14ac:dyDescent="0.25">
      <c r="L222" s="3" t="s">
        <v>276</v>
      </c>
      <c r="M222" s="3" t="s">
        <v>277</v>
      </c>
      <c r="N222" s="3" t="s">
        <v>297</v>
      </c>
      <c r="O222" s="3">
        <v>0</v>
      </c>
      <c r="P222" s="3">
        <v>0</v>
      </c>
    </row>
    <row r="223" spans="12:16" x14ac:dyDescent="0.25">
      <c r="L223" s="3" t="s">
        <v>108</v>
      </c>
      <c r="M223" s="3" t="s">
        <v>277</v>
      </c>
      <c r="N223" s="3" t="s">
        <v>297</v>
      </c>
      <c r="O223" s="3">
        <v>0</v>
      </c>
      <c r="P223" s="3">
        <v>0</v>
      </c>
    </row>
    <row r="224" spans="12:16" x14ac:dyDescent="0.25">
      <c r="L224" s="3" t="s">
        <v>250</v>
      </c>
      <c r="M224" s="3" t="s">
        <v>251</v>
      </c>
      <c r="N224" s="3" t="s">
        <v>297</v>
      </c>
      <c r="O224" s="3">
        <v>0</v>
      </c>
      <c r="P224" s="3">
        <v>0</v>
      </c>
    </row>
    <row r="225" spans="12:16" x14ac:dyDescent="0.25">
      <c r="L225" s="3" t="s">
        <v>137</v>
      </c>
      <c r="M225" s="3" t="s">
        <v>138</v>
      </c>
      <c r="N225" s="3" t="s">
        <v>297</v>
      </c>
      <c r="O225" s="3">
        <v>0</v>
      </c>
      <c r="P225" s="3">
        <v>0</v>
      </c>
    </row>
    <row r="226" spans="12:16" x14ac:dyDescent="0.25">
      <c r="L226" s="3" t="s">
        <v>189</v>
      </c>
      <c r="M226" s="3" t="s">
        <v>192</v>
      </c>
      <c r="N226" s="3" t="s">
        <v>297</v>
      </c>
      <c r="O226" s="3">
        <v>0</v>
      </c>
      <c r="P226" s="3">
        <v>0</v>
      </c>
    </row>
    <row r="227" spans="12:16" x14ac:dyDescent="0.25">
      <c r="L227" s="3" t="s">
        <v>190</v>
      </c>
      <c r="M227" s="3" t="s">
        <v>192</v>
      </c>
      <c r="N227" s="3" t="s">
        <v>297</v>
      </c>
      <c r="O227" s="3">
        <v>0</v>
      </c>
      <c r="P227" s="3">
        <v>0</v>
      </c>
    </row>
    <row r="228" spans="12:16" x14ac:dyDescent="0.25">
      <c r="L228" s="3" t="s">
        <v>109</v>
      </c>
      <c r="M228" s="3" t="s">
        <v>277</v>
      </c>
      <c r="N228" s="3" t="s">
        <v>297</v>
      </c>
      <c r="O228" s="3">
        <v>0</v>
      </c>
      <c r="P228" s="3">
        <v>0</v>
      </c>
    </row>
    <row r="229" spans="12:16" x14ac:dyDescent="0.25">
      <c r="L229" s="3" t="s">
        <v>87</v>
      </c>
      <c r="M229" s="3" t="s">
        <v>88</v>
      </c>
      <c r="N229" s="3" t="s">
        <v>297</v>
      </c>
      <c r="O229" s="3">
        <v>0</v>
      </c>
      <c r="P229" s="3">
        <v>0</v>
      </c>
    </row>
    <row r="230" spans="12:16" x14ac:dyDescent="0.25">
      <c r="L230" s="3" t="s">
        <v>113</v>
      </c>
      <c r="M230" s="3" t="s">
        <v>287</v>
      </c>
      <c r="N230" s="3" t="s">
        <v>297</v>
      </c>
      <c r="O230" s="3">
        <v>0</v>
      </c>
      <c r="P230" s="3">
        <v>0</v>
      </c>
    </row>
    <row r="231" spans="12:16" x14ac:dyDescent="0.25">
      <c r="L231" s="3" t="s">
        <v>31</v>
      </c>
      <c r="M231" s="3" t="s">
        <v>277</v>
      </c>
      <c r="N231" s="3" t="s">
        <v>297</v>
      </c>
      <c r="O231" s="3">
        <v>0</v>
      </c>
      <c r="P231" s="3">
        <v>0</v>
      </c>
    </row>
    <row r="232" spans="12:16" x14ac:dyDescent="0.25">
      <c r="L232" s="3" t="s">
        <v>286</v>
      </c>
      <c r="M232" s="3" t="s">
        <v>287</v>
      </c>
      <c r="N232" s="3" t="s">
        <v>297</v>
      </c>
      <c r="O232" s="3">
        <v>0</v>
      </c>
      <c r="P232" s="3">
        <v>0</v>
      </c>
    </row>
    <row r="233" spans="12:16" x14ac:dyDescent="0.25">
      <c r="L233" s="3" t="s">
        <v>76</v>
      </c>
      <c r="M233" s="3" t="s">
        <v>173</v>
      </c>
      <c r="N233" s="3" t="s">
        <v>297</v>
      </c>
      <c r="O233" s="3">
        <v>0</v>
      </c>
      <c r="P233" s="3">
        <v>0</v>
      </c>
    </row>
    <row r="234" spans="12:16" x14ac:dyDescent="0.25">
      <c r="L234" s="3" t="s">
        <v>191</v>
      </c>
      <c r="M234" s="3" t="s">
        <v>192</v>
      </c>
      <c r="N234" s="3" t="s">
        <v>297</v>
      </c>
      <c r="O234" s="3">
        <v>0</v>
      </c>
      <c r="P234" s="3">
        <v>0</v>
      </c>
    </row>
    <row r="235" spans="12:16" x14ac:dyDescent="0.25">
      <c r="L235" s="3" t="s">
        <v>129</v>
      </c>
      <c r="M235" s="3" t="s">
        <v>130</v>
      </c>
      <c r="N235" s="3" t="s">
        <v>297</v>
      </c>
      <c r="O235" s="3">
        <v>0</v>
      </c>
      <c r="P235" s="3">
        <v>0</v>
      </c>
    </row>
    <row r="236" spans="12:16" x14ac:dyDescent="0.25">
      <c r="L236" s="3" t="s">
        <v>57</v>
      </c>
      <c r="M236" s="3" t="s">
        <v>130</v>
      </c>
      <c r="N236" s="3" t="s">
        <v>297</v>
      </c>
      <c r="O236" s="3">
        <v>0</v>
      </c>
      <c r="P236" s="3">
        <v>0</v>
      </c>
    </row>
  </sheetData>
  <sheetProtection password="C644" sheet="1" objects="1" scenarios="1" selectLockedCells="1"/>
  <autoFilter ref="L2:P236">
    <sortState ref="L3:P236">
      <sortCondition ref="L2:L236"/>
    </sortState>
  </autoFilter>
  <phoneticPr fontId="3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topLeftCell="L1" zoomScale="70" zoomScaleNormal="70" workbookViewId="0">
      <selection activeCell="S1" sqref="S1"/>
    </sheetView>
  </sheetViews>
  <sheetFormatPr baseColWidth="10" defaultRowHeight="15.75" x14ac:dyDescent="0.25"/>
  <cols>
    <col min="1" max="1" width="3.7109375" style="67" hidden="1" customWidth="1"/>
    <col min="2" max="3" width="46.42578125" style="67" hidden="1" customWidth="1"/>
    <col min="4" max="4" width="28.85546875" style="68" hidden="1" customWidth="1"/>
    <col min="5" max="5" width="87.140625" style="67" hidden="1" customWidth="1"/>
    <col min="6" max="6" width="83.5703125" style="68" hidden="1" customWidth="1"/>
    <col min="7" max="7" width="202" style="67" hidden="1" customWidth="1"/>
    <col min="8" max="8" width="11.42578125" style="72" hidden="1" customWidth="1"/>
    <col min="9" max="9" width="12.42578125" style="67" hidden="1" customWidth="1"/>
    <col min="10" max="11" width="21.7109375" style="67" hidden="1" customWidth="1"/>
    <col min="12" max="12" width="43.5703125" style="68" customWidth="1"/>
    <col min="13" max="13" width="138.7109375" style="68" customWidth="1"/>
    <col min="14" max="14" width="40.7109375" style="68" customWidth="1"/>
    <col min="15" max="16384" width="11.42578125" style="68"/>
  </cols>
  <sheetData>
    <row r="1" spans="1:9" s="64" customFormat="1" ht="48" customHeight="1" x14ac:dyDescent="0.25">
      <c r="A1" s="63"/>
      <c r="B1" s="86" t="s">
        <v>305</v>
      </c>
      <c r="C1" s="87" t="s">
        <v>304</v>
      </c>
      <c r="D1" s="88" t="s">
        <v>300</v>
      </c>
      <c r="E1" s="87" t="s">
        <v>308</v>
      </c>
      <c r="F1" s="87" t="s">
        <v>404</v>
      </c>
      <c r="G1" s="89" t="s">
        <v>405</v>
      </c>
      <c r="H1" s="87" t="s">
        <v>463</v>
      </c>
      <c r="I1" s="87" t="s">
        <v>462</v>
      </c>
    </row>
    <row r="2" spans="1:9" s="66" customFormat="1" ht="30" x14ac:dyDescent="0.25">
      <c r="A2" s="65"/>
      <c r="B2" s="90" t="s">
        <v>296</v>
      </c>
      <c r="C2" s="91" t="s">
        <v>303</v>
      </c>
      <c r="D2" s="92">
        <v>0</v>
      </c>
      <c r="E2" s="91" t="str">
        <f t="shared" ref="E2:E19" si="0">CONCATENATE(B2," ; ",C2," ; ",D2)</f>
        <v>Pays membre de l'Union Européenne ; Origine géographique inconnue ; 0</v>
      </c>
      <c r="F2" s="91" t="s">
        <v>408</v>
      </c>
      <c r="G2" s="113" t="s">
        <v>453</v>
      </c>
      <c r="H2" s="114" t="s">
        <v>461</v>
      </c>
      <c r="I2" s="114"/>
    </row>
    <row r="3" spans="1:9" s="66" customFormat="1" x14ac:dyDescent="0.25">
      <c r="A3" s="65"/>
      <c r="B3" s="90" t="s">
        <v>296</v>
      </c>
      <c r="C3" s="91" t="s">
        <v>297</v>
      </c>
      <c r="D3" s="92">
        <v>0</v>
      </c>
      <c r="E3" s="91" t="str">
        <f t="shared" si="0"/>
        <v>Pays membre de l'Union Européenne ; Pays tiers de l'Union Européenne ; 0</v>
      </c>
      <c r="F3" s="91" t="s">
        <v>408</v>
      </c>
      <c r="G3" s="93" t="s">
        <v>454</v>
      </c>
      <c r="H3" s="114" t="s">
        <v>461</v>
      </c>
      <c r="I3" s="114"/>
    </row>
    <row r="4" spans="1:9" s="66" customFormat="1" x14ac:dyDescent="0.25">
      <c r="A4" s="65"/>
      <c r="B4" s="90" t="s">
        <v>297</v>
      </c>
      <c r="C4" s="91" t="s">
        <v>296</v>
      </c>
      <c r="D4" s="92">
        <v>0</v>
      </c>
      <c r="E4" s="91" t="str">
        <f t="shared" si="0"/>
        <v>Pays tiers de l'Union Européenne ; Pays membre de l'Union Européenne ; 0</v>
      </c>
      <c r="F4" s="91" t="s">
        <v>407</v>
      </c>
      <c r="G4" s="93" t="s">
        <v>452</v>
      </c>
      <c r="H4" s="114" t="s">
        <v>460</v>
      </c>
      <c r="I4" s="114"/>
    </row>
    <row r="5" spans="1:9" s="66" customFormat="1" x14ac:dyDescent="0.25">
      <c r="A5" s="65"/>
      <c r="B5" s="90" t="s">
        <v>297</v>
      </c>
      <c r="C5" s="91" t="s">
        <v>297</v>
      </c>
      <c r="D5" s="92">
        <v>0</v>
      </c>
      <c r="E5" s="91" t="str">
        <f t="shared" si="0"/>
        <v>Pays tiers de l'Union Européenne ; Pays tiers de l'Union Européenne ; 0</v>
      </c>
      <c r="F5" s="91" t="s">
        <v>407</v>
      </c>
      <c r="G5" s="93" t="s">
        <v>455</v>
      </c>
      <c r="H5" s="114" t="s">
        <v>460</v>
      </c>
      <c r="I5" s="114"/>
    </row>
    <row r="6" spans="1:9" s="66" customFormat="1" x14ac:dyDescent="0.25">
      <c r="A6" s="65"/>
      <c r="B6" s="90" t="s">
        <v>303</v>
      </c>
      <c r="C6" s="91" t="s">
        <v>303</v>
      </c>
      <c r="D6" s="92">
        <v>4</v>
      </c>
      <c r="E6" s="91" t="str">
        <f t="shared" si="0"/>
        <v>Origine géographique inconnue ; Origine géographique inconnue ; 4</v>
      </c>
      <c r="F6" s="91" t="s">
        <v>406</v>
      </c>
      <c r="G6" s="93" t="s">
        <v>357</v>
      </c>
      <c r="H6" s="114" t="s">
        <v>464</v>
      </c>
      <c r="I6" s="114"/>
    </row>
    <row r="7" spans="1:9" s="66" customFormat="1" x14ac:dyDescent="0.25">
      <c r="A7" s="65"/>
      <c r="B7" s="90" t="s">
        <v>303</v>
      </c>
      <c r="C7" s="91" t="s">
        <v>296</v>
      </c>
      <c r="D7" s="92">
        <v>4</v>
      </c>
      <c r="E7" s="91" t="str">
        <f t="shared" si="0"/>
        <v>Origine géographique inconnue ; Pays membre de l'Union Européenne ; 4</v>
      </c>
      <c r="F7" s="91" t="s">
        <v>406</v>
      </c>
      <c r="G7" s="93" t="s">
        <v>357</v>
      </c>
      <c r="H7" s="114" t="s">
        <v>464</v>
      </c>
      <c r="I7" s="114"/>
    </row>
    <row r="8" spans="1:9" s="66" customFormat="1" x14ac:dyDescent="0.25">
      <c r="A8" s="65"/>
      <c r="B8" s="90" t="s">
        <v>303</v>
      </c>
      <c r="C8" s="91" t="s">
        <v>297</v>
      </c>
      <c r="D8" s="92">
        <v>4</v>
      </c>
      <c r="E8" s="91" t="str">
        <f t="shared" si="0"/>
        <v>Origine géographique inconnue ; Pays tiers de l'Union Européenne ; 4</v>
      </c>
      <c r="F8" s="91" t="s">
        <v>406</v>
      </c>
      <c r="G8" s="93" t="s">
        <v>357</v>
      </c>
      <c r="H8" s="114" t="s">
        <v>464</v>
      </c>
      <c r="I8" s="114"/>
    </row>
    <row r="9" spans="1:9" s="66" customFormat="1" x14ac:dyDescent="0.25">
      <c r="A9" s="65"/>
      <c r="B9" s="90" t="s">
        <v>296</v>
      </c>
      <c r="C9" s="91" t="s">
        <v>303</v>
      </c>
      <c r="D9" s="92">
        <v>4</v>
      </c>
      <c r="E9" s="91" t="str">
        <f t="shared" si="0"/>
        <v>Pays membre de l'Union Européenne ; Origine géographique inconnue ; 4</v>
      </c>
      <c r="F9" s="91" t="s">
        <v>406</v>
      </c>
      <c r="G9" s="93" t="s">
        <v>357</v>
      </c>
      <c r="H9" s="114" t="s">
        <v>464</v>
      </c>
      <c r="I9" s="114"/>
    </row>
    <row r="10" spans="1:9" s="66" customFormat="1" x14ac:dyDescent="0.25">
      <c r="A10" s="65"/>
      <c r="B10" s="90" t="s">
        <v>296</v>
      </c>
      <c r="C10" s="91" t="s">
        <v>296</v>
      </c>
      <c r="D10" s="92">
        <v>0</v>
      </c>
      <c r="E10" s="91" t="str">
        <f t="shared" si="0"/>
        <v>Pays membre de l'Union Européenne ; Pays membre de l'Union Européenne ; 0</v>
      </c>
      <c r="F10" s="91" t="s">
        <v>406</v>
      </c>
      <c r="G10" s="93" t="s">
        <v>358</v>
      </c>
      <c r="H10" s="114" t="s">
        <v>464</v>
      </c>
      <c r="I10" s="114"/>
    </row>
    <row r="11" spans="1:9" s="66" customFormat="1" x14ac:dyDescent="0.25">
      <c r="A11" s="65"/>
      <c r="B11" s="90" t="s">
        <v>296</v>
      </c>
      <c r="C11" s="91" t="s">
        <v>296</v>
      </c>
      <c r="D11" s="92">
        <v>4</v>
      </c>
      <c r="E11" s="91" t="str">
        <f t="shared" si="0"/>
        <v>Pays membre de l'Union Européenne ; Pays membre de l'Union Européenne ; 4</v>
      </c>
      <c r="F11" s="91" t="s">
        <v>406</v>
      </c>
      <c r="G11" s="93" t="s">
        <v>357</v>
      </c>
      <c r="H11" s="114" t="s">
        <v>464</v>
      </c>
      <c r="I11" s="114"/>
    </row>
    <row r="12" spans="1:9" s="66" customFormat="1" x14ac:dyDescent="0.25">
      <c r="A12" s="65"/>
      <c r="B12" s="90" t="s">
        <v>296</v>
      </c>
      <c r="C12" s="91" t="s">
        <v>297</v>
      </c>
      <c r="D12" s="92">
        <v>4</v>
      </c>
      <c r="E12" s="91" t="str">
        <f t="shared" si="0"/>
        <v>Pays membre de l'Union Européenne ; Pays tiers de l'Union Européenne ; 4</v>
      </c>
      <c r="F12" s="91" t="s">
        <v>406</v>
      </c>
      <c r="G12" s="93" t="s">
        <v>357</v>
      </c>
      <c r="H12" s="114" t="s">
        <v>464</v>
      </c>
      <c r="I12" s="114"/>
    </row>
    <row r="13" spans="1:9" s="66" customFormat="1" x14ac:dyDescent="0.25">
      <c r="A13" s="65"/>
      <c r="B13" s="90" t="s">
        <v>297</v>
      </c>
      <c r="C13" s="91" t="s">
        <v>303</v>
      </c>
      <c r="D13" s="92">
        <v>4</v>
      </c>
      <c r="E13" s="91" t="str">
        <f t="shared" si="0"/>
        <v>Pays tiers de l'Union Européenne ; Origine géographique inconnue ; 4</v>
      </c>
      <c r="F13" s="91" t="s">
        <v>406</v>
      </c>
      <c r="G13" s="93" t="s">
        <v>357</v>
      </c>
      <c r="H13" s="114" t="s">
        <v>464</v>
      </c>
      <c r="I13" s="114"/>
    </row>
    <row r="14" spans="1:9" s="66" customFormat="1" x14ac:dyDescent="0.25">
      <c r="A14" s="65"/>
      <c r="B14" s="90" t="s">
        <v>297</v>
      </c>
      <c r="C14" s="91" t="s">
        <v>296</v>
      </c>
      <c r="D14" s="92">
        <v>4</v>
      </c>
      <c r="E14" s="91" t="str">
        <f t="shared" si="0"/>
        <v>Pays tiers de l'Union Européenne ; Pays membre de l'Union Européenne ; 4</v>
      </c>
      <c r="F14" s="91" t="s">
        <v>406</v>
      </c>
      <c r="G14" s="93" t="s">
        <v>357</v>
      </c>
      <c r="H14" s="114" t="s">
        <v>464</v>
      </c>
      <c r="I14" s="114"/>
    </row>
    <row r="15" spans="1:9" s="66" customFormat="1" x14ac:dyDescent="0.25">
      <c r="A15" s="65"/>
      <c r="B15" s="90" t="s">
        <v>297</v>
      </c>
      <c r="C15" s="91" t="s">
        <v>297</v>
      </c>
      <c r="D15" s="92">
        <v>4</v>
      </c>
      <c r="E15" s="91" t="str">
        <f t="shared" si="0"/>
        <v>Pays tiers de l'Union Européenne ; Pays tiers de l'Union Européenne ; 4</v>
      </c>
      <c r="F15" s="91" t="s">
        <v>406</v>
      </c>
      <c r="G15" s="93" t="s">
        <v>357</v>
      </c>
      <c r="H15" s="114" t="s">
        <v>464</v>
      </c>
      <c r="I15" s="114"/>
    </row>
    <row r="16" spans="1:9" s="66" customFormat="1" x14ac:dyDescent="0.25">
      <c r="A16" s="65"/>
      <c r="B16" s="90" t="s">
        <v>297</v>
      </c>
      <c r="C16" s="91" t="s">
        <v>303</v>
      </c>
      <c r="D16" s="92">
        <v>0</v>
      </c>
      <c r="E16" s="91" t="str">
        <f t="shared" si="0"/>
        <v>Pays tiers de l'Union Européenne ; Origine géographique inconnue ; 0</v>
      </c>
      <c r="F16" s="91" t="s">
        <v>457</v>
      </c>
      <c r="G16" s="93" t="s">
        <v>456</v>
      </c>
      <c r="H16" s="114" t="s">
        <v>465</v>
      </c>
      <c r="I16" s="114"/>
    </row>
    <row r="17" spans="1:11" s="66" customFormat="1" x14ac:dyDescent="0.25">
      <c r="A17" s="65"/>
      <c r="B17" s="90" t="s">
        <v>303</v>
      </c>
      <c r="C17" s="91" t="s">
        <v>303</v>
      </c>
      <c r="D17" s="92">
        <v>0</v>
      </c>
      <c r="E17" s="91" t="str">
        <f t="shared" si="0"/>
        <v>Origine géographique inconnue ; Origine géographique inconnue ; 0</v>
      </c>
      <c r="F17" s="91" t="s">
        <v>459</v>
      </c>
      <c r="G17" s="93" t="s">
        <v>307</v>
      </c>
      <c r="H17" s="114" t="s">
        <v>465</v>
      </c>
      <c r="I17" s="114"/>
    </row>
    <row r="18" spans="1:11" s="66" customFormat="1" x14ac:dyDescent="0.25">
      <c r="A18" s="65"/>
      <c r="B18" s="90" t="s">
        <v>303</v>
      </c>
      <c r="C18" s="91" t="s">
        <v>296</v>
      </c>
      <c r="D18" s="92">
        <v>0</v>
      </c>
      <c r="E18" s="91" t="str">
        <f t="shared" si="0"/>
        <v>Origine géographique inconnue ; Pays membre de l'Union Européenne ; 0</v>
      </c>
      <c r="F18" s="91" t="s">
        <v>458</v>
      </c>
      <c r="G18" s="93" t="s">
        <v>306</v>
      </c>
      <c r="H18" s="114" t="s">
        <v>465</v>
      </c>
      <c r="I18" s="114"/>
    </row>
    <row r="19" spans="1:11" s="66" customFormat="1" x14ac:dyDescent="0.25">
      <c r="A19" s="65"/>
      <c r="B19" s="94" t="s">
        <v>303</v>
      </c>
      <c r="C19" s="95" t="s">
        <v>297</v>
      </c>
      <c r="D19" s="96">
        <v>0</v>
      </c>
      <c r="E19" s="95" t="str">
        <f t="shared" si="0"/>
        <v>Origine géographique inconnue ; Pays tiers de l'Union Européenne ; 0</v>
      </c>
      <c r="F19" s="95" t="s">
        <v>458</v>
      </c>
      <c r="G19" s="97" t="s">
        <v>306</v>
      </c>
      <c r="H19" s="114" t="s">
        <v>465</v>
      </c>
      <c r="I19" s="114"/>
    </row>
    <row r="20" spans="1:11" x14ac:dyDescent="0.25">
      <c r="B20"/>
      <c r="C20"/>
      <c r="D20"/>
      <c r="E20"/>
      <c r="F20"/>
      <c r="G20"/>
      <c r="H20"/>
      <c r="I20"/>
      <c r="J20" s="68"/>
      <c r="K20" s="68"/>
    </row>
    <row r="21" spans="1:11" x14ac:dyDescent="0.25">
      <c r="H21" s="68"/>
      <c r="I21" s="68"/>
      <c r="J21" s="68"/>
      <c r="K21" s="68"/>
    </row>
    <row r="23" spans="1:11" s="70" customFormat="1" x14ac:dyDescent="0.25">
      <c r="A23" s="69"/>
      <c r="B23" s="121" t="s">
        <v>415</v>
      </c>
      <c r="C23" s="122" t="s">
        <v>416</v>
      </c>
      <c r="D23" s="122" t="s">
        <v>417</v>
      </c>
      <c r="E23" s="87" t="s">
        <v>308</v>
      </c>
      <c r="F23" s="122" t="s">
        <v>301</v>
      </c>
      <c r="G23" s="123" t="s">
        <v>414</v>
      </c>
      <c r="I23" s="71"/>
      <c r="J23" s="69"/>
      <c r="K23" s="69"/>
    </row>
    <row r="24" spans="1:11" x14ac:dyDescent="0.25">
      <c r="B24" s="119" t="s">
        <v>27</v>
      </c>
      <c r="C24" s="98" t="s">
        <v>27</v>
      </c>
      <c r="D24" s="98" t="s">
        <v>27</v>
      </c>
      <c r="E24" s="98" t="str">
        <f t="shared" ref="E24:E50" si="1">CONCATENATE(B24,C24,D24)</f>
        <v>OuiOuiOui</v>
      </c>
      <c r="F24" s="98" t="s">
        <v>353</v>
      </c>
      <c r="G24" s="120">
        <v>2</v>
      </c>
      <c r="H24" s="68"/>
      <c r="I24" s="72"/>
    </row>
    <row r="25" spans="1:11" x14ac:dyDescent="0.25">
      <c r="B25" s="119" t="s">
        <v>27</v>
      </c>
      <c r="C25" s="98" t="s">
        <v>27</v>
      </c>
      <c r="D25" s="98" t="s">
        <v>28</v>
      </c>
      <c r="E25" s="99" t="str">
        <f t="shared" si="1"/>
        <v>OuiOuiNon</v>
      </c>
      <c r="F25" s="98" t="s">
        <v>430</v>
      </c>
      <c r="G25" s="120">
        <v>0</v>
      </c>
      <c r="H25" s="68"/>
      <c r="I25" s="72"/>
    </row>
    <row r="26" spans="1:11" x14ac:dyDescent="0.25">
      <c r="B26" s="119" t="s">
        <v>27</v>
      </c>
      <c r="C26" s="98" t="s">
        <v>27</v>
      </c>
      <c r="D26" s="98" t="s">
        <v>311</v>
      </c>
      <c r="E26" s="99" t="str">
        <f t="shared" si="1"/>
        <v>OuiOuiNe sait pas</v>
      </c>
      <c r="F26" s="98" t="s">
        <v>431</v>
      </c>
      <c r="G26" s="120">
        <v>0</v>
      </c>
      <c r="H26" s="68"/>
      <c r="I26" s="72"/>
    </row>
    <row r="27" spans="1:11" x14ac:dyDescent="0.25">
      <c r="B27" s="119" t="s">
        <v>27</v>
      </c>
      <c r="C27" s="98" t="s">
        <v>28</v>
      </c>
      <c r="D27" s="98" t="s">
        <v>27</v>
      </c>
      <c r="E27" s="99" t="str">
        <f t="shared" si="1"/>
        <v>OuiNonOui</v>
      </c>
      <c r="F27" s="98" t="s">
        <v>353</v>
      </c>
      <c r="G27" s="120">
        <v>2</v>
      </c>
      <c r="H27" s="68"/>
      <c r="I27" s="72"/>
    </row>
    <row r="28" spans="1:11" x14ac:dyDescent="0.25">
      <c r="B28" s="119" t="s">
        <v>27</v>
      </c>
      <c r="C28" s="98" t="s">
        <v>28</v>
      </c>
      <c r="D28" s="98" t="s">
        <v>28</v>
      </c>
      <c r="E28" s="98" t="str">
        <f t="shared" si="1"/>
        <v>OuiNonNon</v>
      </c>
      <c r="F28" s="98" t="s">
        <v>430</v>
      </c>
      <c r="G28" s="120">
        <v>0</v>
      </c>
      <c r="H28" s="68"/>
      <c r="I28" s="72"/>
    </row>
    <row r="29" spans="1:11" x14ac:dyDescent="0.25">
      <c r="B29" s="119" t="s">
        <v>27</v>
      </c>
      <c r="C29" s="98" t="s">
        <v>28</v>
      </c>
      <c r="D29" s="98" t="s">
        <v>311</v>
      </c>
      <c r="E29" s="98" t="str">
        <f t="shared" si="1"/>
        <v>OuiNonNe sait pas</v>
      </c>
      <c r="F29" s="98" t="s">
        <v>431</v>
      </c>
      <c r="G29" s="120">
        <v>0</v>
      </c>
      <c r="H29" s="68"/>
      <c r="I29" s="72"/>
    </row>
    <row r="30" spans="1:11" x14ac:dyDescent="0.25">
      <c r="B30" s="119" t="s">
        <v>27</v>
      </c>
      <c r="C30" s="98" t="s">
        <v>311</v>
      </c>
      <c r="D30" s="98" t="s">
        <v>27</v>
      </c>
      <c r="E30" s="99" t="str">
        <f t="shared" si="1"/>
        <v>OuiNe sait pasOui</v>
      </c>
      <c r="F30" s="98" t="s">
        <v>434</v>
      </c>
      <c r="G30" s="120">
        <v>2</v>
      </c>
      <c r="H30" s="68"/>
      <c r="I30" s="72"/>
    </row>
    <row r="31" spans="1:11" x14ac:dyDescent="0.25">
      <c r="B31" s="119" t="s">
        <v>27</v>
      </c>
      <c r="C31" s="98" t="s">
        <v>311</v>
      </c>
      <c r="D31" s="98" t="s">
        <v>28</v>
      </c>
      <c r="E31" s="99" t="str">
        <f t="shared" si="1"/>
        <v>OuiNe sait pasNon</v>
      </c>
      <c r="F31" s="98" t="s">
        <v>433</v>
      </c>
      <c r="G31" s="120">
        <v>0</v>
      </c>
      <c r="H31" s="68"/>
      <c r="I31" s="72"/>
    </row>
    <row r="32" spans="1:11" x14ac:dyDescent="0.25">
      <c r="B32" s="119" t="s">
        <v>27</v>
      </c>
      <c r="C32" s="98" t="s">
        <v>311</v>
      </c>
      <c r="D32" s="98" t="s">
        <v>311</v>
      </c>
      <c r="E32" s="99" t="str">
        <f t="shared" si="1"/>
        <v>OuiNe sait pasNe sait pas</v>
      </c>
      <c r="F32" s="98" t="s">
        <v>433</v>
      </c>
      <c r="G32" s="120">
        <v>0</v>
      </c>
      <c r="H32" s="68"/>
      <c r="I32" s="72"/>
    </row>
    <row r="33" spans="2:9" x14ac:dyDescent="0.25">
      <c r="B33" s="119" t="s">
        <v>28</v>
      </c>
      <c r="C33" s="98" t="s">
        <v>27</v>
      </c>
      <c r="D33" s="98" t="s">
        <v>27</v>
      </c>
      <c r="E33" s="98" t="str">
        <f t="shared" si="1"/>
        <v>NonOuiOui</v>
      </c>
      <c r="F33" s="98" t="s">
        <v>353</v>
      </c>
      <c r="G33" s="120">
        <v>2</v>
      </c>
      <c r="H33" s="68"/>
      <c r="I33" s="72"/>
    </row>
    <row r="34" spans="2:9" x14ac:dyDescent="0.25">
      <c r="B34" s="119" t="s">
        <v>28</v>
      </c>
      <c r="C34" s="98" t="s">
        <v>27</v>
      </c>
      <c r="D34" s="98" t="s">
        <v>28</v>
      </c>
      <c r="E34" s="99" t="str">
        <f t="shared" si="1"/>
        <v>NonOuiNon</v>
      </c>
      <c r="F34" s="98" t="s">
        <v>430</v>
      </c>
      <c r="G34" s="120">
        <v>0</v>
      </c>
      <c r="H34" s="68"/>
      <c r="I34" s="72"/>
    </row>
    <row r="35" spans="2:9" x14ac:dyDescent="0.25">
      <c r="B35" s="119" t="s">
        <v>28</v>
      </c>
      <c r="C35" s="98" t="s">
        <v>27</v>
      </c>
      <c r="D35" s="98" t="s">
        <v>311</v>
      </c>
      <c r="E35" s="99" t="str">
        <f t="shared" si="1"/>
        <v>NonOuiNe sait pas</v>
      </c>
      <c r="F35" s="98" t="s">
        <v>431</v>
      </c>
      <c r="G35" s="120">
        <v>0</v>
      </c>
      <c r="H35" s="68"/>
      <c r="I35" s="72"/>
    </row>
    <row r="36" spans="2:9" x14ac:dyDescent="0.25">
      <c r="B36" s="119" t="s">
        <v>28</v>
      </c>
      <c r="C36" s="98" t="s">
        <v>28</v>
      </c>
      <c r="D36" s="98" t="s">
        <v>28</v>
      </c>
      <c r="E36" s="98" t="str">
        <f t="shared" si="1"/>
        <v>NonNonNon</v>
      </c>
      <c r="F36" s="98" t="s">
        <v>350</v>
      </c>
      <c r="G36" s="120">
        <v>2</v>
      </c>
      <c r="H36" s="68"/>
      <c r="I36" s="72"/>
    </row>
    <row r="37" spans="2:9" x14ac:dyDescent="0.25">
      <c r="B37" s="119" t="s">
        <v>28</v>
      </c>
      <c r="C37" s="98" t="s">
        <v>28</v>
      </c>
      <c r="D37" s="98" t="s">
        <v>27</v>
      </c>
      <c r="E37" s="98" t="str">
        <f t="shared" si="1"/>
        <v>NonNonOui</v>
      </c>
      <c r="F37" s="98" t="s">
        <v>432</v>
      </c>
      <c r="G37" s="120">
        <v>0</v>
      </c>
      <c r="H37" s="68"/>
      <c r="I37" s="72"/>
    </row>
    <row r="38" spans="2:9" x14ac:dyDescent="0.25">
      <c r="B38" s="119" t="s">
        <v>28</v>
      </c>
      <c r="C38" s="98" t="s">
        <v>28</v>
      </c>
      <c r="D38" s="98" t="s">
        <v>311</v>
      </c>
      <c r="E38" s="98" t="str">
        <f t="shared" si="1"/>
        <v>NonNonNe sait pas</v>
      </c>
      <c r="F38" s="98" t="s">
        <v>350</v>
      </c>
      <c r="G38" s="120">
        <v>0</v>
      </c>
      <c r="H38" s="68"/>
      <c r="I38" s="72"/>
    </row>
    <row r="39" spans="2:9" x14ac:dyDescent="0.25">
      <c r="B39" s="119" t="s">
        <v>28</v>
      </c>
      <c r="C39" s="98" t="s">
        <v>311</v>
      </c>
      <c r="D39" s="98" t="s">
        <v>311</v>
      </c>
      <c r="E39" s="98" t="str">
        <f t="shared" si="1"/>
        <v>NonNe sait pasNe sait pas</v>
      </c>
      <c r="F39" s="98" t="s">
        <v>433</v>
      </c>
      <c r="G39" s="120">
        <v>0</v>
      </c>
      <c r="H39" s="68"/>
      <c r="I39" s="72"/>
    </row>
    <row r="40" spans="2:9" x14ac:dyDescent="0.25">
      <c r="B40" s="119" t="s">
        <v>28</v>
      </c>
      <c r="C40" s="98" t="s">
        <v>311</v>
      </c>
      <c r="D40" s="98" t="s">
        <v>27</v>
      </c>
      <c r="E40" s="99" t="str">
        <f t="shared" si="1"/>
        <v>NonNe sait pasOui</v>
      </c>
      <c r="F40" s="98" t="s">
        <v>432</v>
      </c>
      <c r="G40" s="120">
        <v>0</v>
      </c>
      <c r="H40" s="68"/>
      <c r="I40" s="72"/>
    </row>
    <row r="41" spans="2:9" x14ac:dyDescent="0.25">
      <c r="B41" s="119" t="s">
        <v>28</v>
      </c>
      <c r="C41" s="98" t="s">
        <v>311</v>
      </c>
      <c r="D41" s="98" t="s">
        <v>28</v>
      </c>
      <c r="E41" s="99" t="str">
        <f t="shared" si="1"/>
        <v>NonNe sait pasNon</v>
      </c>
      <c r="F41" s="98" t="s">
        <v>433</v>
      </c>
      <c r="G41" s="120">
        <v>0</v>
      </c>
      <c r="H41" s="68"/>
      <c r="I41" s="72"/>
    </row>
    <row r="42" spans="2:9" x14ac:dyDescent="0.25">
      <c r="B42" s="119" t="s">
        <v>311</v>
      </c>
      <c r="C42" s="98" t="s">
        <v>27</v>
      </c>
      <c r="D42" s="98" t="s">
        <v>27</v>
      </c>
      <c r="E42" s="98" t="str">
        <f t="shared" si="1"/>
        <v>Ne sait pasOuiOui</v>
      </c>
      <c r="F42" s="98" t="s">
        <v>353</v>
      </c>
      <c r="G42" s="120">
        <v>2</v>
      </c>
      <c r="H42" s="68"/>
      <c r="I42" s="72"/>
    </row>
    <row r="43" spans="2:9" x14ac:dyDescent="0.25">
      <c r="B43" s="119" t="s">
        <v>311</v>
      </c>
      <c r="C43" s="98" t="s">
        <v>27</v>
      </c>
      <c r="D43" s="98" t="s">
        <v>28</v>
      </c>
      <c r="E43" s="99" t="str">
        <f t="shared" si="1"/>
        <v>Ne sait pasOuiNon</v>
      </c>
      <c r="F43" s="98" t="s">
        <v>430</v>
      </c>
      <c r="G43" s="120">
        <v>0</v>
      </c>
      <c r="H43" s="68"/>
      <c r="I43" s="72"/>
    </row>
    <row r="44" spans="2:9" x14ac:dyDescent="0.25">
      <c r="B44" s="119" t="s">
        <v>311</v>
      </c>
      <c r="C44" s="98" t="s">
        <v>27</v>
      </c>
      <c r="D44" s="98" t="s">
        <v>311</v>
      </c>
      <c r="E44" s="99" t="str">
        <f t="shared" si="1"/>
        <v>Ne sait pasOuiNe sait pas</v>
      </c>
      <c r="F44" s="98" t="s">
        <v>431</v>
      </c>
      <c r="G44" s="120">
        <v>0</v>
      </c>
      <c r="H44" s="68"/>
      <c r="I44" s="72"/>
    </row>
    <row r="45" spans="2:9" x14ac:dyDescent="0.25">
      <c r="B45" s="119" t="s">
        <v>311</v>
      </c>
      <c r="C45" s="98" t="s">
        <v>28</v>
      </c>
      <c r="D45" s="98" t="s">
        <v>28</v>
      </c>
      <c r="E45" s="98" t="str">
        <f t="shared" si="1"/>
        <v>Ne sait pasNonNon</v>
      </c>
      <c r="F45" s="98" t="s">
        <v>433</v>
      </c>
      <c r="G45" s="120">
        <v>0</v>
      </c>
      <c r="H45" s="68"/>
      <c r="I45" s="72"/>
    </row>
    <row r="46" spans="2:9" x14ac:dyDescent="0.25">
      <c r="B46" s="119" t="s">
        <v>311</v>
      </c>
      <c r="C46" s="98" t="s">
        <v>28</v>
      </c>
      <c r="D46" s="98" t="s">
        <v>27</v>
      </c>
      <c r="E46" s="99" t="str">
        <f t="shared" si="1"/>
        <v>Ne sait pasNonOui</v>
      </c>
      <c r="F46" s="98" t="s">
        <v>434</v>
      </c>
      <c r="G46" s="120">
        <v>2</v>
      </c>
      <c r="H46" s="68"/>
      <c r="I46" s="72"/>
    </row>
    <row r="47" spans="2:9" x14ac:dyDescent="0.25">
      <c r="B47" s="119" t="s">
        <v>311</v>
      </c>
      <c r="C47" s="98" t="s">
        <v>28</v>
      </c>
      <c r="D47" s="98" t="s">
        <v>311</v>
      </c>
      <c r="E47" s="99" t="str">
        <f t="shared" si="1"/>
        <v>Ne sait pasNonNe sait pas</v>
      </c>
      <c r="F47" s="98" t="s">
        <v>433</v>
      </c>
      <c r="G47" s="120">
        <v>0</v>
      </c>
      <c r="H47" s="68"/>
      <c r="I47" s="72"/>
    </row>
    <row r="48" spans="2:9" x14ac:dyDescent="0.25">
      <c r="B48" s="119" t="s">
        <v>311</v>
      </c>
      <c r="C48" s="98" t="s">
        <v>311</v>
      </c>
      <c r="D48" s="98" t="s">
        <v>311</v>
      </c>
      <c r="E48" s="98" t="str">
        <f t="shared" si="1"/>
        <v>Ne sait pasNe sait pasNe sait pas</v>
      </c>
      <c r="F48" s="98" t="s">
        <v>351</v>
      </c>
      <c r="G48" s="120">
        <v>0</v>
      </c>
      <c r="H48" s="68"/>
      <c r="I48" s="72"/>
    </row>
    <row r="49" spans="1:11" x14ac:dyDescent="0.25">
      <c r="B49" s="119" t="s">
        <v>311</v>
      </c>
      <c r="C49" s="98" t="s">
        <v>311</v>
      </c>
      <c r="D49" s="98" t="s">
        <v>27</v>
      </c>
      <c r="E49" s="99" t="str">
        <f t="shared" si="1"/>
        <v>Ne sait pasNe sait pasOui</v>
      </c>
      <c r="F49" s="98" t="s">
        <v>352</v>
      </c>
      <c r="G49" s="120">
        <v>2</v>
      </c>
      <c r="H49" s="68"/>
      <c r="I49" s="72"/>
    </row>
    <row r="50" spans="1:11" x14ac:dyDescent="0.25">
      <c r="B50" s="124" t="s">
        <v>311</v>
      </c>
      <c r="C50" s="125" t="s">
        <v>311</v>
      </c>
      <c r="D50" s="125" t="s">
        <v>28</v>
      </c>
      <c r="E50" s="126" t="str">
        <f t="shared" si="1"/>
        <v>Ne sait pasNe sait pasNon</v>
      </c>
      <c r="F50" s="125" t="s">
        <v>351</v>
      </c>
      <c r="G50" s="127">
        <v>0</v>
      </c>
    </row>
    <row r="52" spans="1:11" x14ac:dyDescent="0.25">
      <c r="E52" s="67" t="s">
        <v>446</v>
      </c>
    </row>
    <row r="53" spans="1:11" x14ac:dyDescent="0.25">
      <c r="E53" s="67" t="s">
        <v>27</v>
      </c>
      <c r="F53" s="68" t="s">
        <v>448</v>
      </c>
    </row>
    <row r="54" spans="1:11" x14ac:dyDescent="0.25">
      <c r="E54" s="67" t="s">
        <v>28</v>
      </c>
      <c r="F54" s="68" t="s">
        <v>447</v>
      </c>
    </row>
    <row r="55" spans="1:11" x14ac:dyDescent="0.25">
      <c r="E55" s="67" t="s">
        <v>311</v>
      </c>
    </row>
    <row r="63" spans="1:11" s="74" customFormat="1" ht="18" x14ac:dyDescent="0.25">
      <c r="A63" s="73"/>
      <c r="C63" s="139" t="s">
        <v>22</v>
      </c>
      <c r="D63" s="130" t="s">
        <v>484</v>
      </c>
      <c r="E63" s="131" t="s">
        <v>308</v>
      </c>
      <c r="F63" s="132" t="s">
        <v>301</v>
      </c>
      <c r="G63" s="73"/>
      <c r="H63" s="73"/>
      <c r="I63" s="73"/>
    </row>
    <row r="64" spans="1:11" ht="18" x14ac:dyDescent="0.25">
      <c r="C64" s="129" t="s">
        <v>27</v>
      </c>
      <c r="D64" s="128" t="s">
        <v>27</v>
      </c>
      <c r="E64" s="100" t="str">
        <f t="shared" ref="E64:E72" si="2">CONCATENATE(C64,D64)</f>
        <v>OuiOui</v>
      </c>
      <c r="F64" s="129" t="s">
        <v>485</v>
      </c>
      <c r="H64" s="67"/>
      <c r="J64" s="68"/>
      <c r="K64" s="68"/>
    </row>
    <row r="65" spans="3:11" ht="18" x14ac:dyDescent="0.25">
      <c r="C65" s="129" t="s">
        <v>27</v>
      </c>
      <c r="D65" s="128" t="s">
        <v>28</v>
      </c>
      <c r="E65" s="100" t="str">
        <f t="shared" si="2"/>
        <v>OuiNon</v>
      </c>
      <c r="F65" s="129" t="s">
        <v>354</v>
      </c>
      <c r="H65" s="67"/>
      <c r="J65" s="68"/>
      <c r="K65" s="68"/>
    </row>
    <row r="66" spans="3:11" ht="18" x14ac:dyDescent="0.25">
      <c r="C66" s="129" t="s">
        <v>27</v>
      </c>
      <c r="D66" s="128" t="s">
        <v>311</v>
      </c>
      <c r="E66" s="100" t="str">
        <f t="shared" si="2"/>
        <v>OuiNe sait pas</v>
      </c>
      <c r="F66" s="129" t="s">
        <v>354</v>
      </c>
      <c r="H66" s="67"/>
      <c r="J66" s="68"/>
      <c r="K66" s="68"/>
    </row>
    <row r="67" spans="3:11" ht="18" x14ac:dyDescent="0.25">
      <c r="C67" s="129" t="s">
        <v>28</v>
      </c>
      <c r="D67" s="128" t="s">
        <v>27</v>
      </c>
      <c r="E67" s="100" t="str">
        <f t="shared" si="2"/>
        <v>NonOui</v>
      </c>
      <c r="F67" s="129" t="s">
        <v>479</v>
      </c>
      <c r="H67" s="67"/>
      <c r="J67" s="68"/>
      <c r="K67" s="68"/>
    </row>
    <row r="68" spans="3:11" ht="18" x14ac:dyDescent="0.25">
      <c r="C68" s="129" t="s">
        <v>28</v>
      </c>
      <c r="D68" s="128" t="s">
        <v>28</v>
      </c>
      <c r="E68" s="100" t="str">
        <f t="shared" si="2"/>
        <v>NonNon</v>
      </c>
      <c r="F68" s="129" t="s">
        <v>479</v>
      </c>
      <c r="H68" s="67"/>
      <c r="J68" s="68"/>
      <c r="K68" s="68"/>
    </row>
    <row r="69" spans="3:11" ht="18" x14ac:dyDescent="0.25">
      <c r="C69" s="129" t="s">
        <v>28</v>
      </c>
      <c r="D69" s="128" t="s">
        <v>311</v>
      </c>
      <c r="E69" s="100" t="str">
        <f t="shared" si="2"/>
        <v>NonNe sait pas</v>
      </c>
      <c r="F69" s="129" t="s">
        <v>479</v>
      </c>
      <c r="H69" s="67"/>
      <c r="J69" s="68"/>
      <c r="K69" s="68"/>
    </row>
    <row r="70" spans="3:11" ht="18" x14ac:dyDescent="0.25">
      <c r="C70" s="129" t="s">
        <v>311</v>
      </c>
      <c r="D70" s="128" t="s">
        <v>27</v>
      </c>
      <c r="E70" s="100" t="str">
        <f t="shared" si="2"/>
        <v>Ne sait pasOui</v>
      </c>
      <c r="F70" s="129" t="s">
        <v>355</v>
      </c>
      <c r="H70" s="67"/>
      <c r="J70" s="68"/>
      <c r="K70" s="68"/>
    </row>
    <row r="71" spans="3:11" ht="18" x14ac:dyDescent="0.25">
      <c r="C71" s="129" t="s">
        <v>311</v>
      </c>
      <c r="D71" s="128" t="s">
        <v>28</v>
      </c>
      <c r="E71" s="100" t="str">
        <f t="shared" si="2"/>
        <v>Ne sait pasNon</v>
      </c>
      <c r="F71" s="129" t="s">
        <v>355</v>
      </c>
      <c r="H71" s="67"/>
      <c r="J71" s="68"/>
      <c r="K71" s="68"/>
    </row>
    <row r="72" spans="3:11" ht="18" x14ac:dyDescent="0.25">
      <c r="C72" s="129" t="s">
        <v>311</v>
      </c>
      <c r="D72" s="133" t="s">
        <v>311</v>
      </c>
      <c r="E72" s="134" t="str">
        <f t="shared" si="2"/>
        <v>Ne sait pasNe sait pas</v>
      </c>
      <c r="F72" s="135" t="s">
        <v>402</v>
      </c>
      <c r="H72" s="67"/>
      <c r="J72" s="68"/>
      <c r="K72" s="68"/>
    </row>
    <row r="73" spans="3:11" x14ac:dyDescent="0.25">
      <c r="D73"/>
      <c r="E73"/>
      <c r="F73"/>
    </row>
  </sheetData>
  <sheetProtection password="C644" sheet="1" objects="1" scenarios="1" selectLockedCells="1"/>
  <phoneticPr fontId="32" type="noConversion"/>
  <hyperlinks>
    <hyperlink ref="F4" location="Légalité!A19" display="Evaluation d'un lieu de récolte et d'un fournisseur"/>
    <hyperlink ref="F5" location="Légalité!A19" display="Evaluation d'un lieu de récolte et d'un fournisseur"/>
  </hyperlinks>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U32"/>
  <sheetViews>
    <sheetView showGridLines="0" tabSelected="1" zoomScaleNormal="100" zoomScaleSheetLayoutView="70" workbookViewId="0">
      <selection activeCell="C32" sqref="C32"/>
    </sheetView>
  </sheetViews>
  <sheetFormatPr baseColWidth="10" defaultRowHeight="12.75" x14ac:dyDescent="0.25"/>
  <cols>
    <col min="1" max="1" width="5.7109375" style="110" customWidth="1"/>
    <col min="2" max="2" width="26.85546875" style="110" customWidth="1"/>
    <col min="3" max="3" width="50.85546875" style="110" customWidth="1"/>
    <col min="4" max="4" width="2.85546875" style="110" bestFit="1" customWidth="1"/>
    <col min="5" max="5" width="25.140625" style="110" customWidth="1"/>
    <col min="6" max="6" width="26.5703125" style="110" customWidth="1"/>
    <col min="7" max="7" width="14.28515625" style="110" bestFit="1" customWidth="1"/>
    <col min="8" max="16384" width="11.42578125" style="110"/>
  </cols>
  <sheetData>
    <row r="2" spans="1:255" s="154" customFormat="1" ht="23.25" x14ac:dyDescent="0.25">
      <c r="A2" s="467" t="str">
        <f>'Page 1'!$B$9</f>
        <v>OUTIL D'EVALUATION DE LA DURABILITE DE L’IMPORTATION DE BOIS ENERGIE</v>
      </c>
      <c r="B2" s="467"/>
      <c r="C2" s="467"/>
      <c r="D2" s="152"/>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row>
    <row r="3" spans="1:255" x14ac:dyDescent="0.25">
      <c r="A3" s="467"/>
      <c r="B3" s="467"/>
      <c r="C3" s="467"/>
    </row>
    <row r="4" spans="1:255" x14ac:dyDescent="0.25">
      <c r="A4" s="159"/>
      <c r="B4" s="465"/>
      <c r="C4" s="465"/>
    </row>
    <row r="5" spans="1:255" x14ac:dyDescent="0.25">
      <c r="A5" s="159"/>
      <c r="B5" s="466"/>
      <c r="C5" s="466"/>
    </row>
    <row r="6" spans="1:255" x14ac:dyDescent="0.25">
      <c r="A6" s="159"/>
      <c r="B6" s="466"/>
      <c r="C6" s="466"/>
    </row>
    <row r="7" spans="1:255" x14ac:dyDescent="0.25">
      <c r="A7" s="159"/>
      <c r="B7" s="466"/>
      <c r="C7" s="466"/>
    </row>
    <row r="8" spans="1:255" x14ac:dyDescent="0.25">
      <c r="A8" s="159"/>
      <c r="B8" s="160"/>
      <c r="C8" s="160"/>
    </row>
    <row r="9" spans="1:255" x14ac:dyDescent="0.25">
      <c r="A9" s="159"/>
      <c r="B9" s="465"/>
      <c r="C9" s="465"/>
    </row>
    <row r="10" spans="1:255" ht="15" customHeight="1" x14ac:dyDescent="0.25">
      <c r="A10" s="159"/>
      <c r="B10" s="466"/>
      <c r="C10" s="466"/>
      <c r="F10" s="464" t="s">
        <v>502</v>
      </c>
    </row>
    <row r="11" spans="1:255" x14ac:dyDescent="0.25">
      <c r="A11" s="159"/>
      <c r="B11" s="466"/>
      <c r="C11" s="466"/>
      <c r="F11" s="464"/>
    </row>
    <row r="12" spans="1:255" x14ac:dyDescent="0.25">
      <c r="A12" s="159"/>
      <c r="B12" s="466"/>
      <c r="C12" s="466"/>
      <c r="F12" s="464"/>
    </row>
    <row r="13" spans="1:255" x14ac:dyDescent="0.25">
      <c r="A13" s="159"/>
      <c r="B13" s="160"/>
      <c r="C13" s="160"/>
      <c r="F13" s="464"/>
    </row>
    <row r="14" spans="1:255" x14ac:dyDescent="0.25">
      <c r="A14" s="159"/>
      <c r="B14" s="465"/>
      <c r="C14" s="465"/>
      <c r="F14" s="464"/>
    </row>
    <row r="15" spans="1:255" x14ac:dyDescent="0.25">
      <c r="A15" s="159"/>
      <c r="B15" s="466"/>
      <c r="C15" s="466"/>
    </row>
    <row r="16" spans="1:255" x14ac:dyDescent="0.25">
      <c r="A16" s="159"/>
      <c r="B16" s="466"/>
      <c r="C16" s="466"/>
    </row>
    <row r="18" spans="1:255" ht="92.25" customHeight="1" x14ac:dyDescent="0.2">
      <c r="C18" s="149"/>
    </row>
    <row r="19" spans="1:255" x14ac:dyDescent="0.2">
      <c r="C19" s="149"/>
    </row>
    <row r="20" spans="1:255" x14ac:dyDescent="0.2">
      <c r="C20" s="149"/>
    </row>
    <row r="21" spans="1:255" s="157" customFormat="1" ht="15.75" x14ac:dyDescent="0.25">
      <c r="A21" s="469" t="s">
        <v>445</v>
      </c>
      <c r="B21" s="469"/>
      <c r="C21" s="469"/>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c r="IK21" s="156"/>
      <c r="IL21" s="156"/>
      <c r="IM21" s="156"/>
      <c r="IN21" s="156"/>
      <c r="IO21" s="156"/>
      <c r="IP21" s="156"/>
      <c r="IQ21" s="156"/>
      <c r="IR21" s="156"/>
      <c r="IS21" s="156"/>
      <c r="IT21" s="156"/>
      <c r="IU21" s="156"/>
    </row>
    <row r="22" spans="1:255" ht="13.5" thickBot="1" x14ac:dyDescent="0.3">
      <c r="A22" s="111"/>
      <c r="C22" s="150"/>
    </row>
    <row r="23" spans="1:255" ht="13.5" thickBot="1" x14ac:dyDescent="0.3">
      <c r="A23" s="151"/>
      <c r="B23" s="158" t="s">
        <v>449</v>
      </c>
      <c r="C23" s="142" t="s">
        <v>511</v>
      </c>
    </row>
    <row r="24" spans="1:255" ht="13.5" thickBot="1" x14ac:dyDescent="0.3">
      <c r="A24" s="151"/>
      <c r="B24" s="158" t="s">
        <v>450</v>
      </c>
      <c r="C24" s="142" t="s">
        <v>526</v>
      </c>
    </row>
    <row r="25" spans="1:255" ht="13.5" thickBot="1" x14ac:dyDescent="0.3">
      <c r="A25" s="112"/>
      <c r="B25" s="158"/>
      <c r="C25" s="112"/>
    </row>
    <row r="26" spans="1:255" ht="13.5" thickBot="1" x14ac:dyDescent="0.3">
      <c r="A26" s="151"/>
      <c r="B26" s="158" t="s">
        <v>403</v>
      </c>
      <c r="C26" s="143" t="s">
        <v>310</v>
      </c>
    </row>
    <row r="27" spans="1:255" ht="13.5" thickBot="1" x14ac:dyDescent="0.3">
      <c r="A27" s="151"/>
      <c r="B27" s="158" t="s">
        <v>360</v>
      </c>
      <c r="C27" s="143" t="s">
        <v>310</v>
      </c>
    </row>
    <row r="28" spans="1:255" ht="13.5" thickBot="1" x14ac:dyDescent="0.3">
      <c r="A28" s="151"/>
      <c r="B28" s="158" t="s">
        <v>440</v>
      </c>
      <c r="C28" s="143" t="s">
        <v>512</v>
      </c>
    </row>
    <row r="29" spans="1:255" ht="13.5" thickBot="1" x14ac:dyDescent="0.3">
      <c r="A29" s="151"/>
      <c r="B29" s="158" t="s">
        <v>397</v>
      </c>
      <c r="C29" s="142" t="s">
        <v>513</v>
      </c>
    </row>
    <row r="30" spans="1:255" ht="13.5" thickBot="1" x14ac:dyDescent="0.3">
      <c r="A30" s="151"/>
      <c r="B30" s="158" t="s">
        <v>451</v>
      </c>
      <c r="C30" s="142" t="s">
        <v>441</v>
      </c>
    </row>
    <row r="31" spans="1:255" ht="23.25" customHeight="1" x14ac:dyDescent="0.25">
      <c r="A31" s="111"/>
      <c r="C31" s="468" t="s">
        <v>480</v>
      </c>
      <c r="D31" s="468"/>
    </row>
    <row r="32" spans="1:255" x14ac:dyDescent="0.25">
      <c r="A32" s="111"/>
      <c r="C32" s="165" t="s">
        <v>481</v>
      </c>
    </row>
  </sheetData>
  <sheetProtection password="C644" sheet="1" objects="1" scenarios="1" selectLockedCells="1"/>
  <mergeCells count="15">
    <mergeCell ref="C31:D31"/>
    <mergeCell ref="A21:C21"/>
    <mergeCell ref="B4:C4"/>
    <mergeCell ref="B5:C5"/>
    <mergeCell ref="B6:C6"/>
    <mergeCell ref="B7:C7"/>
    <mergeCell ref="B9:C9"/>
    <mergeCell ref="B10:C10"/>
    <mergeCell ref="B11:C11"/>
    <mergeCell ref="B12:C12"/>
    <mergeCell ref="F10:F14"/>
    <mergeCell ref="B14:C14"/>
    <mergeCell ref="B15:C15"/>
    <mergeCell ref="B16:C16"/>
    <mergeCell ref="A2:C3"/>
  </mergeCells>
  <phoneticPr fontId="32" type="noConversion"/>
  <conditionalFormatting sqref="D21:XFD21">
    <cfRule type="expression" dxfId="61" priority="19" stopIfTrue="1">
      <formula>$F$22="Fin"</formula>
    </cfRule>
  </conditionalFormatting>
  <dataValidations count="1">
    <dataValidation type="list" allowBlank="1" showInputMessage="1" showErrorMessage="1" sqref="C26:C27">
      <formula1>PAYS</formula1>
    </dataValidation>
  </dataValidations>
  <hyperlinks>
    <hyperlink ref="C32" location="'Outil PCI moyen'!A1" display=" &gt; Aller à l'outil"/>
  </hyperlinks>
  <pageMargins left="0.70866141732283472" right="0.70866141732283472" top="0.74803149606299213" bottom="0.74803149606299213" header="0.31496062992125984" footer="0.31496062992125984"/>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T87"/>
  <sheetViews>
    <sheetView showGridLines="0" zoomScaleNormal="100" zoomScaleSheetLayoutView="85" workbookViewId="0">
      <selection activeCell="C74" sqref="C74"/>
    </sheetView>
  </sheetViews>
  <sheetFormatPr baseColWidth="10" defaultRowHeight="14.25" x14ac:dyDescent="0.25"/>
  <cols>
    <col min="1" max="1" width="6" style="175" customWidth="1"/>
    <col min="2" max="2" width="11.28515625" style="176" customWidth="1"/>
    <col min="3" max="3" width="75.28515625" style="177" customWidth="1"/>
    <col min="4" max="5" width="11.42578125" style="175"/>
    <col min="6" max="6" width="46.85546875" style="175" customWidth="1"/>
    <col min="7" max="16384" width="11.42578125" style="175"/>
  </cols>
  <sheetData>
    <row r="1" spans="2:254" s="412" customFormat="1" ht="12" x14ac:dyDescent="0.25">
      <c r="B1" s="413"/>
      <c r="C1" s="414"/>
    </row>
    <row r="2" spans="2:254" s="178" customFormat="1" ht="23.25" x14ac:dyDescent="0.25">
      <c r="B2" s="470" t="s">
        <v>490</v>
      </c>
      <c r="C2" s="470"/>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79"/>
      <c r="EQ2" s="179"/>
      <c r="ER2" s="179"/>
      <c r="ES2" s="179"/>
      <c r="ET2" s="179"/>
      <c r="EU2" s="179"/>
      <c r="EV2" s="179"/>
      <c r="EW2" s="179"/>
      <c r="EX2" s="179"/>
      <c r="EY2" s="179"/>
      <c r="EZ2" s="179"/>
      <c r="FA2" s="179"/>
      <c r="FB2" s="179"/>
      <c r="FC2" s="179"/>
      <c r="FD2" s="179"/>
      <c r="FE2" s="179"/>
      <c r="FF2" s="179"/>
      <c r="FG2" s="179"/>
      <c r="FH2" s="179"/>
      <c r="FI2" s="179"/>
      <c r="FJ2" s="179"/>
      <c r="FK2" s="179"/>
      <c r="FL2" s="179"/>
      <c r="FM2" s="179"/>
      <c r="FN2" s="179"/>
      <c r="FO2" s="179"/>
      <c r="FP2" s="179"/>
      <c r="FQ2" s="179"/>
      <c r="FR2" s="179"/>
      <c r="FS2" s="179"/>
      <c r="FT2" s="179"/>
      <c r="FU2" s="179"/>
      <c r="FV2" s="179"/>
      <c r="FW2" s="179"/>
      <c r="FX2" s="179"/>
      <c r="FY2" s="179"/>
      <c r="FZ2" s="179"/>
      <c r="GA2" s="179"/>
      <c r="GB2" s="179"/>
      <c r="GC2" s="179"/>
      <c r="GD2" s="179"/>
      <c r="GE2" s="179"/>
      <c r="GF2" s="179"/>
      <c r="GG2" s="179"/>
      <c r="GH2" s="179"/>
      <c r="GI2" s="179"/>
      <c r="GJ2" s="179"/>
      <c r="GK2" s="179"/>
      <c r="GL2" s="179"/>
      <c r="GM2" s="179"/>
      <c r="GN2" s="179"/>
      <c r="GO2" s="179"/>
      <c r="GP2" s="179"/>
      <c r="GQ2" s="179"/>
      <c r="GR2" s="179"/>
      <c r="GS2" s="179"/>
      <c r="GT2" s="179"/>
      <c r="GU2" s="179"/>
      <c r="GV2" s="179"/>
      <c r="GW2" s="179"/>
      <c r="GX2" s="179"/>
      <c r="GY2" s="179"/>
      <c r="GZ2" s="179"/>
      <c r="HA2" s="179"/>
      <c r="HB2" s="179"/>
      <c r="HC2" s="179"/>
      <c r="HD2" s="179"/>
      <c r="HE2" s="179"/>
      <c r="HF2" s="179"/>
      <c r="HG2" s="179"/>
      <c r="HH2" s="179"/>
      <c r="HI2" s="179"/>
      <c r="HJ2" s="179"/>
      <c r="HK2" s="179"/>
      <c r="HL2" s="179"/>
      <c r="HM2" s="179"/>
      <c r="HN2" s="179"/>
      <c r="HO2" s="179"/>
      <c r="HP2" s="179"/>
      <c r="HQ2" s="179"/>
      <c r="HR2" s="179"/>
      <c r="HS2" s="179"/>
      <c r="HT2" s="179"/>
      <c r="HU2" s="179"/>
      <c r="HV2" s="179"/>
      <c r="HW2" s="179"/>
      <c r="HX2" s="179"/>
      <c r="HY2" s="179"/>
      <c r="HZ2" s="179"/>
      <c r="IA2" s="179"/>
      <c r="IB2" s="179"/>
      <c r="IC2" s="179"/>
      <c r="ID2" s="179"/>
      <c r="IE2" s="179"/>
      <c r="IF2" s="179"/>
      <c r="IG2" s="179"/>
      <c r="IH2" s="179"/>
      <c r="II2" s="179"/>
      <c r="IJ2" s="179"/>
      <c r="IK2" s="179"/>
      <c r="IL2" s="179"/>
      <c r="IM2" s="179"/>
      <c r="IN2" s="179"/>
      <c r="IO2" s="179"/>
      <c r="IP2" s="179"/>
      <c r="IQ2" s="179"/>
      <c r="IR2" s="179"/>
      <c r="IS2" s="179"/>
      <c r="IT2" s="179"/>
    </row>
    <row r="3" spans="2:254" s="412" customFormat="1" ht="12" x14ac:dyDescent="0.25">
      <c r="B3" s="413"/>
      <c r="C3" s="414"/>
    </row>
    <row r="4" spans="2:254" s="410" customFormat="1" ht="30" x14ac:dyDescent="0.25">
      <c r="B4" s="411" t="str">
        <f>'1-Filières'!A1</f>
        <v>Critère 1 :</v>
      </c>
      <c r="C4" s="411" t="str">
        <f>'1-Filières'!A2</f>
        <v>Les filières d'approvisionnement locales ont été étudiées avant de recourir à l'importation</v>
      </c>
      <c r="D4" s="411"/>
      <c r="F4" s="381"/>
    </row>
    <row r="5" spans="2:254" s="412" customFormat="1" ht="12" x14ac:dyDescent="0.25">
      <c r="B5" s="413"/>
      <c r="C5" s="414"/>
    </row>
    <row r="6" spans="2:254" s="183" customFormat="1" ht="12" x14ac:dyDescent="0.25">
      <c r="B6" s="409" t="s">
        <v>506</v>
      </c>
      <c r="C6" s="407" t="str">
        <f>'1-Filières'!B5</f>
        <v>Les filières d’approvisionnement régionales et nationales ont-elles été étudiées ?</v>
      </c>
      <c r="D6" s="184"/>
      <c r="E6" s="185"/>
    </row>
    <row r="7" spans="2:254" s="183" customFormat="1" ht="22.5" x14ac:dyDescent="0.25">
      <c r="B7" s="409" t="s">
        <v>506</v>
      </c>
      <c r="C7" s="407" t="str">
        <f>'1-Filières'!B8</f>
        <v>L'approvisionnement "local" (régional/ national) est-il comparativement moins intéressant (en termes économiques, qualitatifs, régularité et sécurité de l'approvisionnement…) ?</v>
      </c>
      <c r="D7" s="184"/>
      <c r="E7" s="185"/>
    </row>
    <row r="8" spans="2:254" s="412" customFormat="1" ht="12" x14ac:dyDescent="0.25">
      <c r="B8" s="413"/>
      <c r="C8" s="414"/>
    </row>
    <row r="9" spans="2:254" s="410" customFormat="1" ht="15" x14ac:dyDescent="0.25">
      <c r="B9" s="411" t="str">
        <f>'2-Légalité'!A2</f>
        <v>Critère 2 :</v>
      </c>
      <c r="C9" s="411" t="str">
        <f>'2-Légalité'!A3</f>
        <v>Le bois est d'origine légale (lieu de récolte)</v>
      </c>
      <c r="D9" s="411"/>
      <c r="F9" s="381"/>
    </row>
    <row r="10" spans="2:254" s="412" customFormat="1" ht="12" x14ac:dyDescent="0.25">
      <c r="B10" s="413"/>
      <c r="C10" s="414"/>
    </row>
    <row r="11" spans="2:254" s="405" customFormat="1" ht="12" x14ac:dyDescent="0.25">
      <c r="B11" s="404" t="s">
        <v>505</v>
      </c>
      <c r="C11" s="187" t="str">
        <f>'2-Légalité'!B6</f>
        <v>Origine du bois et du fournisseur</v>
      </c>
      <c r="D11" s="406"/>
      <c r="E11" s="406"/>
    </row>
    <row r="12" spans="2:254" s="183" customFormat="1" ht="12" x14ac:dyDescent="0.25">
      <c r="B12" s="409" t="s">
        <v>506</v>
      </c>
      <c r="C12" s="407" t="str">
        <f>'2-Légalité'!B8</f>
        <v>Dans quel pays se situe le fournisseur ?</v>
      </c>
      <c r="D12" s="184"/>
      <c r="E12" s="185"/>
    </row>
    <row r="13" spans="2:254" s="183" customFormat="1" ht="12" x14ac:dyDescent="0.25">
      <c r="B13" s="409" t="s">
        <v>506</v>
      </c>
      <c r="C13" s="407" t="str">
        <f>'2-Légalité'!B11</f>
        <v>Dans quel pays le bois a-t-il été récolté ?</v>
      </c>
      <c r="D13" s="184"/>
      <c r="E13" s="184"/>
    </row>
    <row r="14" spans="2:254" s="183" customFormat="1" ht="22.5" x14ac:dyDescent="0.25">
      <c r="B14" s="409" t="s">
        <v>506</v>
      </c>
      <c r="C14" s="407" t="str">
        <f>'2-Légalité'!B14</f>
        <v>Les produits sont-ils couverts par un système de certification crédible et couvrant les exigences légales ? Ou par une vérification tierce partie ?</v>
      </c>
      <c r="D14" s="184"/>
      <c r="E14" s="184"/>
    </row>
    <row r="15" spans="2:254" s="412" customFormat="1" ht="12" x14ac:dyDescent="0.25">
      <c r="B15" s="413"/>
      <c r="C15" s="414"/>
    </row>
    <row r="16" spans="2:254" s="405" customFormat="1" ht="12" x14ac:dyDescent="0.25">
      <c r="B16" s="404" t="s">
        <v>505</v>
      </c>
      <c r="C16" s="187" t="str">
        <f>'2-Légalité'!B25</f>
        <v>Analyse des risques liés à un lieu de récolte et un fournisseur hors UE</v>
      </c>
      <c r="D16" s="406"/>
      <c r="E16" s="406"/>
    </row>
    <row r="17" spans="2:6" s="183" customFormat="1" ht="22.5" x14ac:dyDescent="0.25">
      <c r="B17" s="409" t="s">
        <v>506</v>
      </c>
      <c r="C17" s="407" t="str">
        <f>'2-Légalité'!B28</f>
        <v>Le pays est-il concerné par des sanctions ?
Ou le pays est-il connu pour un faible niveau de gouvernance forestière  ?</v>
      </c>
      <c r="D17" s="184"/>
      <c r="E17" s="184"/>
    </row>
    <row r="18" spans="2:6" s="183" customFormat="1" ht="12" x14ac:dyDescent="0.25">
      <c r="B18" s="409" t="s">
        <v>506</v>
      </c>
      <c r="C18" s="407" t="str">
        <f>'2-Légalité'!B32</f>
        <v>Des compagnies sont-elles liées à de activités illégales ?</v>
      </c>
      <c r="D18" s="184"/>
      <c r="E18" s="184"/>
    </row>
    <row r="19" spans="2:6" s="183" customFormat="1" ht="12" x14ac:dyDescent="0.25">
      <c r="B19" s="409" t="s">
        <v>506</v>
      </c>
      <c r="C19" s="407" t="str">
        <f>'2-Légalité'!B36</f>
        <v>Y-a-t-il un lien avec des flux de bois illégaux ?</v>
      </c>
      <c r="D19" s="184"/>
      <c r="E19" s="184"/>
    </row>
    <row r="20" spans="2:6" s="183" customFormat="1" ht="12" x14ac:dyDescent="0.25">
      <c r="B20" s="409" t="s">
        <v>506</v>
      </c>
      <c r="C20" s="407" t="str">
        <f>'2-Légalité'!B39</f>
        <v>La chaine d'approvisionnement permet-elle d'identifier l'origine de l'exploitation forestière du bois (pays) ?</v>
      </c>
      <c r="D20" s="184"/>
      <c r="E20" s="184"/>
    </row>
    <row r="21" spans="2:6" s="183" customFormat="1" ht="22.5" x14ac:dyDescent="0.25">
      <c r="B21" s="409" t="s">
        <v>506</v>
      </c>
      <c r="C21" s="407" t="str">
        <f>'2-Légalité'!B42</f>
        <v>Le lieu de récolte (l'unité de gestion forestière) est-il connu et des preuves suffisantes de conformité aux exigences légales sont-elles disponibles ?</v>
      </c>
      <c r="D21" s="184"/>
      <c r="E21" s="184"/>
    </row>
    <row r="22" spans="2:6" s="186" customFormat="1" ht="22.5" x14ac:dyDescent="0.25">
      <c r="B22" s="409" t="s">
        <v>506</v>
      </c>
      <c r="C22" s="408" t="str">
        <f>'2-Légalité'!B45</f>
        <v>Tous les documents sont-ils mis à disposition par le fournisseur pour identifier les intervenants dans la chaîne d'approvisionnement ?</v>
      </c>
    </row>
    <row r="23" spans="2:6" s="186" customFormat="1" ht="12" x14ac:dyDescent="0.25">
      <c r="B23" s="409" t="s">
        <v>506</v>
      </c>
      <c r="C23" s="408" t="str">
        <f>'2-Légalité'!B48</f>
        <v>Quel est l'indice de perception de corruption (CPI) du pays ?</v>
      </c>
    </row>
    <row r="24" spans="2:6" s="412" customFormat="1" ht="12" x14ac:dyDescent="0.25">
      <c r="B24" s="413"/>
      <c r="C24" s="414"/>
    </row>
    <row r="25" spans="2:6" s="405" customFormat="1" ht="12" x14ac:dyDescent="0.25">
      <c r="B25" s="404" t="s">
        <v>505</v>
      </c>
      <c r="C25" s="187" t="str">
        <f>'2-Légalité'!B52</f>
        <v>Analyse des risques liés à un fournisseur européen</v>
      </c>
      <c r="D25" s="406"/>
      <c r="E25" s="406"/>
    </row>
    <row r="26" spans="2:6" s="186" customFormat="1" ht="22.5" x14ac:dyDescent="0.25">
      <c r="B26" s="409" t="s">
        <v>506</v>
      </c>
      <c r="C26" s="407" t="str">
        <f>'2-Légalité'!B55</f>
        <v>Le fournisseur met-il à disposition les documents attestant de la mise en œuvre d'un système de vérification de la légalité du bois ?</v>
      </c>
    </row>
    <row r="27" spans="2:6" s="186" customFormat="1" ht="12" x14ac:dyDescent="0.25">
      <c r="B27" s="409" t="s">
        <v>506</v>
      </c>
      <c r="C27" s="408" t="str">
        <f>'2-Légalité'!B58</f>
        <v>A quel niveau de risque a-t-il évalué les bois ?</v>
      </c>
    </row>
    <row r="28" spans="2:6" s="186" customFormat="1" ht="12" x14ac:dyDescent="0.25">
      <c r="B28" s="409" t="s">
        <v>506</v>
      </c>
      <c r="C28" s="408" t="str">
        <f>'2-Légalité'!B61</f>
        <v>A-t-il mis en œuvre des mesures adaptées de réduction de ce risque ?</v>
      </c>
    </row>
    <row r="29" spans="2:6" s="412" customFormat="1" ht="12" x14ac:dyDescent="0.25">
      <c r="B29" s="413"/>
      <c r="C29" s="414"/>
    </row>
    <row r="30" spans="2:6" s="410" customFormat="1" ht="30" x14ac:dyDescent="0.25">
      <c r="B30" s="411" t="str">
        <f>'3-Phyto'!A1</f>
        <v>Critère 3 :</v>
      </c>
      <c r="C30" s="411" t="str">
        <f>'3-Phyto'!A2</f>
        <v>Le bois ne présente pas de risques d'introduction d'organismes nuisibles et sa combustion n'est pas nocive</v>
      </c>
      <c r="D30" s="411"/>
      <c r="F30" s="381"/>
    </row>
    <row r="31" spans="2:6" s="412" customFormat="1" ht="12" x14ac:dyDescent="0.25">
      <c r="B31" s="413"/>
      <c r="C31" s="414"/>
    </row>
    <row r="32" spans="2:6" s="405" customFormat="1" ht="12" x14ac:dyDescent="0.25">
      <c r="B32" s="404" t="s">
        <v>505</v>
      </c>
      <c r="C32" s="187" t="str">
        <f>'3-Phyto'!B5</f>
        <v>Risques d'introduction d'organismes nuisibles</v>
      </c>
      <c r="D32" s="406"/>
      <c r="E32" s="406"/>
    </row>
    <row r="33" spans="2:6" s="183" customFormat="1" ht="12" x14ac:dyDescent="0.25">
      <c r="B33" s="409" t="s">
        <v>506</v>
      </c>
      <c r="C33" s="407" t="str">
        <f>'3-Phyto'!B7</f>
        <v>Le bois est-il soumis à inspection phytosanitaire pour son entrée sur le territoire communautaire ?</v>
      </c>
      <c r="D33" s="184"/>
      <c r="E33" s="185"/>
    </row>
    <row r="34" spans="2:6" s="183" customFormat="1" ht="12" x14ac:dyDescent="0.25">
      <c r="B34" s="409" t="s">
        <v>506</v>
      </c>
      <c r="C34" s="407" t="str">
        <f>'3-Phyto'!B10</f>
        <v>Les documents phytosanitaires s(er)ont-ils disponibles (accompagnement de la marchandise) ?</v>
      </c>
      <c r="D34" s="184"/>
      <c r="E34" s="184"/>
    </row>
    <row r="35" spans="2:6" s="412" customFormat="1" ht="12" x14ac:dyDescent="0.25">
      <c r="B35" s="413"/>
      <c r="C35" s="414"/>
    </row>
    <row r="36" spans="2:6" s="405" customFormat="1" ht="12" x14ac:dyDescent="0.25">
      <c r="B36" s="404" t="s">
        <v>505</v>
      </c>
      <c r="C36" s="187" t="str">
        <f>'3-Phyto'!B13</f>
        <v>Produits de traitement des bois</v>
      </c>
      <c r="D36" s="406"/>
      <c r="E36" s="406"/>
    </row>
    <row r="37" spans="2:6" s="183" customFormat="1" ht="12" x14ac:dyDescent="0.25">
      <c r="B37" s="409" t="s">
        <v>506</v>
      </c>
      <c r="C37" s="407" t="str">
        <f>'3-Phyto'!B15</f>
        <v>Le bois a-t-il reçu un traitement chimique depuis sa récolte ?</v>
      </c>
      <c r="D37" s="184"/>
      <c r="E37" s="184"/>
    </row>
    <row r="38" spans="2:6" s="183" customFormat="1" ht="12" x14ac:dyDescent="0.25">
      <c r="B38" s="409" t="s">
        <v>506</v>
      </c>
      <c r="C38" s="408" t="str">
        <f>'3-Phyto'!B18</f>
        <v>Si oui, les produits rendent-ils sa combustion nocive ?</v>
      </c>
      <c r="D38" s="184"/>
      <c r="E38" s="184"/>
    </row>
    <row r="39" spans="2:6" s="412" customFormat="1" ht="12" x14ac:dyDescent="0.25">
      <c r="B39" s="413"/>
      <c r="C39" s="414"/>
    </row>
    <row r="40" spans="2:6" s="410" customFormat="1" ht="30" x14ac:dyDescent="0.25">
      <c r="B40" s="411" t="str">
        <f>'4-Biodiversité'!A2</f>
        <v>Critère 4 :</v>
      </c>
      <c r="C40" s="411" t="str">
        <f>'4-Biodiversité'!A3</f>
        <v>Le bois ne provient pas de terres de grande valeur en termes de biodiversité ou ayant le caractère de tourbières (lieu de récolte)</v>
      </c>
      <c r="D40" s="411"/>
      <c r="F40" s="381"/>
    </row>
    <row r="41" spans="2:6" s="412" customFormat="1" ht="12" x14ac:dyDescent="0.25">
      <c r="B41" s="413"/>
      <c r="C41" s="414"/>
    </row>
    <row r="42" spans="2:6" s="405" customFormat="1" ht="12" x14ac:dyDescent="0.25">
      <c r="B42" s="404" t="s">
        <v>505</v>
      </c>
      <c r="C42" s="187" t="str">
        <f>'4-Biodiversité'!B8</f>
        <v>Origine des produits</v>
      </c>
      <c r="D42" s="406"/>
      <c r="E42" s="406"/>
    </row>
    <row r="43" spans="2:6" s="183" customFormat="1" ht="12" x14ac:dyDescent="0.25">
      <c r="B43" s="409" t="s">
        <v>506</v>
      </c>
      <c r="C43" s="407" t="str">
        <f>'4-Biodiversité'!B10</f>
        <v>Dans quel pays le bois a-t-il été récolté ?</v>
      </c>
      <c r="D43" s="184"/>
      <c r="E43" s="185"/>
    </row>
    <row r="44" spans="2:6" s="183" customFormat="1" ht="22.5" x14ac:dyDescent="0.25">
      <c r="B44" s="409" t="s">
        <v>506</v>
      </c>
      <c r="C44" s="407" t="str">
        <f>'4-Biodiversité'!B13</f>
        <v>Les produits sont-ils couverts par un système de certification crédible et prenant en compte la biodiversité ? Ou par une vérification tierce partie ?</v>
      </c>
      <c r="D44" s="184"/>
      <c r="E44" s="184"/>
    </row>
    <row r="45" spans="2:6" s="412" customFormat="1" ht="12" x14ac:dyDescent="0.25">
      <c r="B45" s="413"/>
      <c r="C45" s="414"/>
    </row>
    <row r="46" spans="2:6" s="405" customFormat="1" ht="12" x14ac:dyDescent="0.25">
      <c r="B46" s="404" t="s">
        <v>505</v>
      </c>
      <c r="C46" s="187" t="str">
        <f>'4-Biodiversité'!B23</f>
        <v>Analyse des risques relatifs à la biodiversité</v>
      </c>
      <c r="D46" s="406"/>
      <c r="E46" s="406"/>
    </row>
    <row r="47" spans="2:6" s="183" customFormat="1" ht="12" x14ac:dyDescent="0.25">
      <c r="B47" s="409" t="s">
        <v>506</v>
      </c>
      <c r="C47" s="407" t="str">
        <f>'4-Biodiversité'!B25</f>
        <v>Le bois risque-t-il de provenir de forêts primaires ?</v>
      </c>
      <c r="D47" s="184"/>
      <c r="E47" s="184"/>
    </row>
    <row r="48" spans="2:6" s="183" customFormat="1" ht="22.5" x14ac:dyDescent="0.25">
      <c r="B48" s="409" t="s">
        <v>506</v>
      </c>
      <c r="C48" s="408" t="str">
        <f>'4-Biodiversité'!B29</f>
        <v>Le bois risque-t-il de provenir de zones affectées à la protection de la nature par la loi ou une personne publique ?</v>
      </c>
      <c r="D48" s="184"/>
      <c r="E48" s="184"/>
    </row>
    <row r="49" spans="2:6" s="183" customFormat="1" ht="22.5" x14ac:dyDescent="0.25">
      <c r="B49" s="409" t="s">
        <v>506</v>
      </c>
      <c r="C49" s="408" t="str">
        <f>'4-Biodiversité'!B33</f>
        <v>La zone de récolte du bois est-elle connue pour présenter des grandes valeurs en matière de biodiversité ?</v>
      </c>
      <c r="D49" s="184"/>
      <c r="E49" s="184"/>
    </row>
    <row r="50" spans="2:6" s="412" customFormat="1" ht="12" x14ac:dyDescent="0.25">
      <c r="B50" s="413"/>
      <c r="C50" s="414"/>
    </row>
    <row r="51" spans="2:6" s="410" customFormat="1" ht="30" x14ac:dyDescent="0.25">
      <c r="B51" s="411" t="str">
        <f>'5-GES'!A2</f>
        <v>Critère 5 :</v>
      </c>
      <c r="C51" s="411" t="str">
        <f>'5-GES'!A3</f>
        <v>Le bois apporte des garanties concernant son potentiel de réduction des GES</v>
      </c>
      <c r="D51" s="411"/>
      <c r="F51" s="381"/>
    </row>
    <row r="52" spans="2:6" s="412" customFormat="1" ht="12" x14ac:dyDescent="0.25">
      <c r="B52" s="413"/>
      <c r="C52" s="414"/>
    </row>
    <row r="53" spans="2:6" s="180" customFormat="1" ht="15.75" x14ac:dyDescent="0.25">
      <c r="B53" s="404" t="s">
        <v>505</v>
      </c>
      <c r="C53" s="187" t="str">
        <f>'5-GES'!B5</f>
        <v>Bilan massique (ou "bilan carbone")</v>
      </c>
      <c r="D53" s="181"/>
      <c r="F53" s="182"/>
    </row>
    <row r="54" spans="2:6" s="183" customFormat="1" ht="12" x14ac:dyDescent="0.25">
      <c r="B54" s="409" t="s">
        <v>506</v>
      </c>
      <c r="C54" s="407" t="str">
        <f>'5-GES'!B7</f>
        <v xml:space="preserve">Un bilan massique (ou "bilan carbone") du produit a-t-il été réalisé ? </v>
      </c>
      <c r="D54" s="184"/>
      <c r="E54" s="184"/>
    </row>
    <row r="55" spans="2:6" s="183" customFormat="1" ht="12" x14ac:dyDescent="0.25">
      <c r="B55" s="409" t="s">
        <v>506</v>
      </c>
      <c r="C55" s="407" t="str">
        <f>'5-GES'!B13</f>
        <v>Quel est le bilan des émissions de gaz à effet de serre pour 1 MWh utile produit ?</v>
      </c>
      <c r="D55" s="184"/>
      <c r="E55" s="184"/>
    </row>
    <row r="56" spans="2:6" s="412" customFormat="1" ht="12" x14ac:dyDescent="0.25">
      <c r="B56" s="413"/>
      <c r="C56" s="414"/>
    </row>
    <row r="57" spans="2:6" s="410" customFormat="1" ht="30" x14ac:dyDescent="0.25">
      <c r="B57" s="411" t="str">
        <f>'6-Usages'!A1</f>
        <v>Critère 6 :</v>
      </c>
      <c r="C57" s="411" t="str">
        <f>'6-Usages'!A2</f>
        <v xml:space="preserve">Le bois ne doit pas contribuer à créer ou renforcer des conflits d'usages </v>
      </c>
      <c r="D57" s="411"/>
      <c r="F57" s="381"/>
    </row>
    <row r="58" spans="2:6" s="412" customFormat="1" ht="12" x14ac:dyDescent="0.25">
      <c r="B58" s="413"/>
      <c r="C58" s="414"/>
    </row>
    <row r="59" spans="2:6" s="183" customFormat="1" ht="12" x14ac:dyDescent="0.25">
      <c r="B59" s="409" t="s">
        <v>506</v>
      </c>
      <c r="C59" s="407" t="str">
        <f>'6-Usages'!B6</f>
        <v>Dans quel pays le bois a-t-il été récolté ?</v>
      </c>
      <c r="D59" s="184"/>
      <c r="E59" s="185"/>
    </row>
    <row r="60" spans="2:6" s="183" customFormat="1" ht="12" x14ac:dyDescent="0.25">
      <c r="B60" s="409" t="s">
        <v>506</v>
      </c>
      <c r="C60" s="407" t="str">
        <f>'6-Usages'!B8</f>
        <v>Dans quelle région forestière ?</v>
      </c>
      <c r="D60" s="184"/>
      <c r="E60" s="184"/>
    </row>
    <row r="61" spans="2:6" s="183" customFormat="1" ht="22.5" x14ac:dyDescent="0.25">
      <c r="B61" s="409" t="s">
        <v>506</v>
      </c>
      <c r="C61" s="407" t="str">
        <f>'6-Usages'!B11</f>
        <v>L’origine géographique de la ressource est-elle connue pour des conflits d’usage impactant les secteurs de l’industrie ?</v>
      </c>
      <c r="D61" s="184"/>
      <c r="E61" s="185"/>
    </row>
    <row r="62" spans="2:6" s="183" customFormat="1" ht="22.5" x14ac:dyDescent="0.25">
      <c r="B62" s="409" t="s">
        <v>506</v>
      </c>
      <c r="C62" s="407" t="str">
        <f>'6-Usages'!B14</f>
        <v>L’origine géographique de la ressource est-elle connue pour des conflits d’usage impactant la sécurité alimentaire ?</v>
      </c>
      <c r="D62" s="184"/>
      <c r="E62" s="184"/>
    </row>
    <row r="63" spans="2:6" s="183" customFormat="1" ht="12" x14ac:dyDescent="0.25">
      <c r="B63" s="409" t="s">
        <v>506</v>
      </c>
      <c r="C63" s="407" t="str">
        <f>'6-Usages'!B18</f>
        <v>Si des conflits d'usage sont avérés, des garanties complémentaires sont-elles apportées ?</v>
      </c>
      <c r="D63" s="184"/>
      <c r="E63" s="184"/>
    </row>
    <row r="64" spans="2:6" s="412" customFormat="1" ht="12" x14ac:dyDescent="0.25">
      <c r="B64" s="413"/>
      <c r="C64" s="414"/>
    </row>
    <row r="65" spans="2:6" s="410" customFormat="1" ht="45" x14ac:dyDescent="0.25">
      <c r="B65" s="411" t="str">
        <f>'7-Droits'!A1</f>
        <v>Critère 7 :</v>
      </c>
      <c r="C65" s="411" t="str">
        <f>'7-Droits'!A2</f>
        <v>Le bois ne doit pas provenir de zones où les droits du travail, les droits des communautés locales et des populations autochtones ne sont pas respectés</v>
      </c>
      <c r="D65" s="411"/>
      <c r="F65" s="381"/>
    </row>
    <row r="66" spans="2:6" s="412" customFormat="1" ht="12" x14ac:dyDescent="0.25">
      <c r="B66" s="413"/>
      <c r="C66" s="414"/>
    </row>
    <row r="67" spans="2:6" s="183" customFormat="1" ht="22.5" x14ac:dyDescent="0.25">
      <c r="B67" s="409" t="s">
        <v>506</v>
      </c>
      <c r="C67" s="407" t="str">
        <f>'7-Droits'!B7</f>
        <v>Les produits sont-ils couverts par un système de certification crédible et  justifiant le respect des  droits du travail, des droits des communautés locales et des populations autochtones ?</v>
      </c>
      <c r="D67" s="184"/>
      <c r="E67" s="184"/>
    </row>
    <row r="68" spans="2:6" s="183" customFormat="1" ht="22.5" x14ac:dyDescent="0.25">
      <c r="B68" s="409" t="s">
        <v>506</v>
      </c>
      <c r="C68" s="407" t="str">
        <f>'7-Droits'!B10</f>
        <v>Y-a-t-il des preuves de violation de la Convention 169 de l'OIT sur les peuples indigènes et tribaux dans les zones forestières du pays concerné ?</v>
      </c>
      <c r="D68" s="184"/>
      <c r="E68" s="184"/>
    </row>
    <row r="69" spans="2:6" s="180" customFormat="1" ht="22.5" x14ac:dyDescent="0.25">
      <c r="B69" s="409" t="s">
        <v>506</v>
      </c>
      <c r="C69" s="407" t="str">
        <f>'7-Droits'!B13</f>
        <v>Y-a-t-il des preuves du travail des enfants ou de la violation des Principes Fondamentaux et des droits au travail de l'OIT dans les zones forestières du pays concerné ?</v>
      </c>
      <c r="D69" s="189"/>
    </row>
    <row r="70" spans="2:6" s="412" customFormat="1" ht="12" x14ac:dyDescent="0.25">
      <c r="B70" s="413"/>
      <c r="C70" s="414"/>
    </row>
    <row r="71" spans="2:6" s="180" customFormat="1" ht="15" x14ac:dyDescent="0.25">
      <c r="B71" s="188"/>
      <c r="C71" s="173"/>
    </row>
    <row r="72" spans="2:6" s="180" customFormat="1" ht="15" x14ac:dyDescent="0.25">
      <c r="B72" s="188"/>
      <c r="C72" s="173"/>
    </row>
    <row r="73" spans="2:6" s="180" customFormat="1" ht="15" x14ac:dyDescent="0.25">
      <c r="B73" s="188"/>
      <c r="C73" s="173"/>
    </row>
    <row r="74" spans="2:6" s="180" customFormat="1" ht="15" x14ac:dyDescent="0.25">
      <c r="B74" s="188"/>
      <c r="C74" s="173"/>
    </row>
    <row r="75" spans="2:6" s="180" customFormat="1" ht="15" x14ac:dyDescent="0.25">
      <c r="B75" s="188"/>
      <c r="C75" s="173"/>
    </row>
    <row r="76" spans="2:6" s="180" customFormat="1" ht="15" x14ac:dyDescent="0.25">
      <c r="B76" s="188"/>
      <c r="C76" s="173"/>
    </row>
    <row r="77" spans="2:6" s="180" customFormat="1" ht="15" x14ac:dyDescent="0.25">
      <c r="B77" s="188"/>
      <c r="C77" s="173"/>
    </row>
    <row r="78" spans="2:6" s="180" customFormat="1" ht="15" x14ac:dyDescent="0.25">
      <c r="B78" s="188"/>
      <c r="C78" s="173"/>
    </row>
    <row r="79" spans="2:6" s="180" customFormat="1" ht="15" x14ac:dyDescent="0.25">
      <c r="B79" s="188"/>
      <c r="C79" s="173"/>
    </row>
    <row r="80" spans="2:6" s="180" customFormat="1" ht="15" x14ac:dyDescent="0.25">
      <c r="B80" s="188"/>
      <c r="C80" s="173"/>
    </row>
    <row r="81" spans="2:3" s="180" customFormat="1" ht="15" x14ac:dyDescent="0.25">
      <c r="B81" s="188"/>
      <c r="C81" s="173"/>
    </row>
    <row r="82" spans="2:3" s="180" customFormat="1" ht="15" x14ac:dyDescent="0.25">
      <c r="B82" s="188"/>
      <c r="C82" s="173"/>
    </row>
    <row r="83" spans="2:3" x14ac:dyDescent="0.25">
      <c r="C83" s="174"/>
    </row>
    <row r="84" spans="2:3" x14ac:dyDescent="0.25">
      <c r="C84" s="174"/>
    </row>
    <row r="85" spans="2:3" x14ac:dyDescent="0.25">
      <c r="C85" s="174"/>
    </row>
    <row r="86" spans="2:3" x14ac:dyDescent="0.25">
      <c r="C86" s="174"/>
    </row>
    <row r="87" spans="2:3" x14ac:dyDescent="0.25">
      <c r="C87" s="174"/>
    </row>
  </sheetData>
  <sheetProtection password="C644" sheet="1" objects="1" scenarios="1" selectLockedCells="1"/>
  <mergeCells count="1">
    <mergeCell ref="B2:C2"/>
  </mergeCells>
  <phoneticPr fontId="32" type="noConversion"/>
  <pageMargins left="0.70866141732283472" right="0.70866141732283472" top="0.74803149606299213" bottom="0.74803149606299213" header="0.31496062992125984" footer="0.31496062992125984"/>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rowBreaks count="1" manualBreakCount="1">
    <brk id="55" min="1" max="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84"/>
  <sheetViews>
    <sheetView showGridLines="0" zoomScaleNormal="100" zoomScaleSheetLayoutView="100" workbookViewId="0">
      <selection activeCell="C8" sqref="C8"/>
    </sheetView>
  </sheetViews>
  <sheetFormatPr baseColWidth="10" defaultRowHeight="15" x14ac:dyDescent="0.25"/>
  <cols>
    <col min="1" max="1" width="2.85546875" style="25" bestFit="1" customWidth="1"/>
    <col min="2" max="2" width="66.28515625" style="25" customWidth="1"/>
    <col min="3" max="3" width="29.140625" style="1" customWidth="1"/>
    <col min="4" max="4" width="2.5703125" style="25" customWidth="1"/>
    <col min="5" max="5" width="18" style="57" hidden="1" customWidth="1"/>
    <col min="6" max="6" width="5" style="50" hidden="1" customWidth="1"/>
    <col min="7" max="7" width="11.42578125" style="29" customWidth="1"/>
    <col min="8" max="16384" width="11.42578125" style="29"/>
  </cols>
  <sheetData>
    <row r="1" spans="1:12" s="191" customFormat="1" ht="24" thickBot="1" x14ac:dyDescent="0.4">
      <c r="A1" s="478" t="s">
        <v>4</v>
      </c>
      <c r="B1" s="478"/>
      <c r="C1" s="342" t="str">
        <f>IF(SUM(F5:F8)&lt;2,"Risque fort","Risque faible")</f>
        <v>Risque fort</v>
      </c>
      <c r="D1" s="201"/>
    </row>
    <row r="2" spans="1:12" s="216" customFormat="1" ht="72.75" customHeight="1" x14ac:dyDescent="0.25">
      <c r="A2" s="480" t="s">
        <v>542</v>
      </c>
      <c r="B2" s="480"/>
      <c r="C2" s="480"/>
      <c r="D2" s="255"/>
      <c r="H2" s="479" t="s">
        <v>550</v>
      </c>
      <c r="I2" s="479"/>
      <c r="J2" s="479"/>
      <c r="K2" s="479"/>
      <c r="L2" s="479"/>
    </row>
    <row r="3" spans="1:12" s="259" customFormat="1" ht="18" x14ac:dyDescent="0.25">
      <c r="A3" s="171" t="s">
        <v>493</v>
      </c>
      <c r="B3" s="269" t="s">
        <v>500</v>
      </c>
      <c r="C3" s="270" t="str">
        <f>CONCATENATE(C27," ",D27," ",E27)</f>
        <v xml:space="preserve">  </v>
      </c>
      <c r="D3" s="271"/>
      <c r="E3" s="271"/>
      <c r="F3" s="271"/>
      <c r="G3" s="272"/>
      <c r="H3" s="479"/>
      <c r="I3" s="479"/>
      <c r="J3" s="479"/>
      <c r="K3" s="479"/>
      <c r="L3" s="479"/>
    </row>
    <row r="4" spans="1:12" s="259" customFormat="1" ht="18.75" thickBot="1" x14ac:dyDescent="0.3">
      <c r="A4" s="171"/>
      <c r="B4" s="269"/>
      <c r="C4" s="270"/>
      <c r="D4" s="271"/>
      <c r="E4" s="271"/>
      <c r="F4" s="271"/>
      <c r="G4" s="272"/>
      <c r="H4" s="479"/>
      <c r="I4" s="479"/>
      <c r="J4" s="479"/>
      <c r="K4" s="479"/>
      <c r="L4" s="479"/>
    </row>
    <row r="5" spans="1:12" s="30" customFormat="1" ht="24.75" thickBot="1" x14ac:dyDescent="0.3">
      <c r="A5" s="24"/>
      <c r="B5" s="341" t="s">
        <v>22</v>
      </c>
      <c r="C5" s="258" t="s">
        <v>311</v>
      </c>
      <c r="D5" s="36"/>
      <c r="E5" s="56"/>
      <c r="F5" s="50">
        <f>IF(C5="Oui",1,IF(C5="Non",0,0))</f>
        <v>0</v>
      </c>
      <c r="H5" s="479"/>
      <c r="I5" s="479"/>
      <c r="J5" s="479"/>
      <c r="K5" s="479"/>
      <c r="L5" s="479"/>
    </row>
    <row r="6" spans="1:12" s="30" customFormat="1" ht="24" x14ac:dyDescent="0.25">
      <c r="A6" s="24"/>
      <c r="B6" s="303" t="s">
        <v>435</v>
      </c>
      <c r="C6" s="39"/>
      <c r="D6" s="36"/>
      <c r="E6" s="56"/>
      <c r="F6" s="50"/>
      <c r="H6" s="479"/>
      <c r="I6" s="479"/>
      <c r="J6" s="479"/>
      <c r="K6" s="479"/>
      <c r="L6" s="479"/>
    </row>
    <row r="7" spans="1:12" ht="15.75" thickBot="1" x14ac:dyDescent="0.3">
      <c r="B7" s="37"/>
      <c r="C7" s="39"/>
      <c r="D7" s="36"/>
      <c r="E7" s="56"/>
      <c r="H7" s="479"/>
      <c r="I7" s="479"/>
      <c r="J7" s="479"/>
      <c r="K7" s="479"/>
      <c r="L7" s="479"/>
    </row>
    <row r="8" spans="1:12" s="30" customFormat="1" ht="36.75" thickBot="1" x14ac:dyDescent="0.3">
      <c r="A8" s="24"/>
      <c r="B8" s="341" t="s">
        <v>437</v>
      </c>
      <c r="C8" s="258" t="s">
        <v>311</v>
      </c>
      <c r="D8" s="36"/>
      <c r="E8" s="56"/>
      <c r="F8" s="50">
        <f>IF(C8="Oui",1,IF(C8="Non",0,0))*F5</f>
        <v>0</v>
      </c>
      <c r="H8" s="479"/>
      <c r="I8" s="479"/>
      <c r="J8" s="479"/>
      <c r="K8" s="479"/>
      <c r="L8" s="479"/>
    </row>
    <row r="9" spans="1:12" s="30" customFormat="1" ht="24" x14ac:dyDescent="0.25">
      <c r="A9" s="24"/>
      <c r="B9" s="303" t="s">
        <v>436</v>
      </c>
      <c r="C9" s="39"/>
      <c r="D9" s="36"/>
      <c r="E9" s="56"/>
      <c r="F9" s="50"/>
      <c r="H9" s="479"/>
      <c r="I9" s="479"/>
      <c r="J9" s="479"/>
      <c r="K9" s="479"/>
      <c r="L9" s="479"/>
    </row>
    <row r="10" spans="1:12" x14ac:dyDescent="0.25">
      <c r="B10" s="32"/>
      <c r="C10" s="38"/>
      <c r="D10" s="36"/>
      <c r="E10" s="56"/>
      <c r="H10" s="479"/>
      <c r="I10" s="479"/>
      <c r="J10" s="479"/>
      <c r="K10" s="479"/>
      <c r="L10" s="479"/>
    </row>
    <row r="11" spans="1:12" ht="54.75" customHeight="1" x14ac:dyDescent="0.25">
      <c r="B11" s="477" t="str">
        <f>IF(C5="","Risque non négligeable sans investigation complémentaire",IF(C8="","Risque non négligeable sans investigation complémentaire",VLOOKUP(CONCATENATE(C5,C8),Commentaires!$E$64:$F$72,2,0)))</f>
        <v>Aucune information n'est disponible pour justifier que les filières d’approvisionnement régionales et nationales ne sont pas pertinentes.</v>
      </c>
      <c r="C11" s="477"/>
      <c r="D11" s="36"/>
      <c r="E11" s="56"/>
      <c r="H11" s="479"/>
      <c r="I11" s="479"/>
      <c r="J11" s="479"/>
      <c r="K11" s="479"/>
      <c r="L11" s="479"/>
    </row>
    <row r="12" spans="1:12" x14ac:dyDescent="0.25">
      <c r="B12" s="37"/>
      <c r="C12" s="39"/>
      <c r="D12" s="36"/>
      <c r="E12" s="56"/>
    </row>
    <row r="13" spans="1:12" x14ac:dyDescent="0.25">
      <c r="B13" s="37"/>
      <c r="C13" s="39"/>
      <c r="D13" s="36"/>
      <c r="E13" s="56"/>
    </row>
    <row r="14" spans="1:12" s="259" customFormat="1" ht="18" x14ac:dyDescent="0.25">
      <c r="A14" s="171" t="s">
        <v>493</v>
      </c>
      <c r="B14" s="269" t="s">
        <v>478</v>
      </c>
      <c r="C14" s="270" t="str">
        <f>CONCATENATE(C37," ",D37," ",E37)</f>
        <v xml:space="preserve">  </v>
      </c>
      <c r="D14" s="271"/>
      <c r="E14" s="271"/>
      <c r="F14" s="271"/>
      <c r="G14" s="272"/>
      <c r="H14" s="160"/>
    </row>
    <row r="15" spans="1:12" x14ac:dyDescent="0.25">
      <c r="C15" s="31"/>
      <c r="E15" s="25"/>
      <c r="F15" s="25"/>
      <c r="G15" s="25"/>
      <c r="H15" s="25"/>
      <c r="J15" s="44"/>
    </row>
    <row r="16" spans="1:12" ht="15" customHeight="1" x14ac:dyDescent="0.25">
      <c r="B16" s="471" t="s">
        <v>507</v>
      </c>
      <c r="C16" s="472"/>
      <c r="D16" s="118"/>
      <c r="E16" s="118"/>
      <c r="F16" s="118"/>
      <c r="G16" s="118"/>
      <c r="H16" s="25"/>
      <c r="J16" s="44"/>
    </row>
    <row r="17" spans="1:10" x14ac:dyDescent="0.25">
      <c r="B17" s="473"/>
      <c r="C17" s="474"/>
      <c r="D17" s="118"/>
      <c r="E17" s="118"/>
      <c r="F17" s="118"/>
      <c r="G17" s="118"/>
      <c r="H17" s="25"/>
      <c r="J17" s="44"/>
    </row>
    <row r="18" spans="1:10" x14ac:dyDescent="0.25">
      <c r="B18" s="473"/>
      <c r="C18" s="474"/>
      <c r="D18" s="118"/>
      <c r="E18" s="118"/>
      <c r="F18" s="118"/>
      <c r="G18" s="118"/>
      <c r="H18" s="25"/>
      <c r="J18" s="44"/>
    </row>
    <row r="19" spans="1:10" x14ac:dyDescent="0.25">
      <c r="B19" s="473"/>
      <c r="C19" s="474"/>
      <c r="D19" s="118"/>
      <c r="E19" s="118"/>
      <c r="F19" s="118"/>
      <c r="G19" s="118"/>
      <c r="H19" s="25"/>
      <c r="J19" s="44"/>
    </row>
    <row r="20" spans="1:10" x14ac:dyDescent="0.25">
      <c r="B20" s="473"/>
      <c r="C20" s="474"/>
      <c r="D20" s="118"/>
      <c r="E20" s="118"/>
      <c r="F20" s="118"/>
      <c r="G20" s="118"/>
      <c r="H20" s="25"/>
      <c r="J20" s="44"/>
    </row>
    <row r="21" spans="1:10" x14ac:dyDescent="0.25">
      <c r="B21" s="473"/>
      <c r="C21" s="474"/>
      <c r="D21" s="118"/>
      <c r="E21" s="118"/>
      <c r="F21" s="118"/>
      <c r="G21" s="118"/>
      <c r="H21" s="25"/>
      <c r="J21" s="44"/>
    </row>
    <row r="22" spans="1:10" x14ac:dyDescent="0.25">
      <c r="B22" s="473"/>
      <c r="C22" s="474"/>
      <c r="D22" s="118"/>
      <c r="E22" s="118"/>
      <c r="F22" s="118"/>
      <c r="G22" s="118"/>
      <c r="H22" s="25"/>
      <c r="J22" s="44"/>
    </row>
    <row r="23" spans="1:10" x14ac:dyDescent="0.25">
      <c r="B23" s="473"/>
      <c r="C23" s="474"/>
      <c r="D23" s="118"/>
      <c r="E23" s="118"/>
      <c r="F23" s="118"/>
      <c r="G23" s="118"/>
      <c r="H23" s="25"/>
      <c r="J23" s="44"/>
    </row>
    <row r="24" spans="1:10" x14ac:dyDescent="0.25">
      <c r="B24" s="473"/>
      <c r="C24" s="474"/>
      <c r="D24" s="118"/>
      <c r="E24" s="118"/>
      <c r="F24" s="118"/>
      <c r="G24" s="118"/>
      <c r="H24" s="25"/>
      <c r="J24" s="44"/>
    </row>
    <row r="25" spans="1:10" x14ac:dyDescent="0.25">
      <c r="B25" s="473"/>
      <c r="C25" s="474"/>
      <c r="D25" s="118"/>
      <c r="E25" s="118"/>
      <c r="F25" s="118"/>
      <c r="G25" s="118"/>
      <c r="H25" s="25"/>
      <c r="J25" s="44"/>
    </row>
    <row r="26" spans="1:10" x14ac:dyDescent="0.25">
      <c r="B26" s="473"/>
      <c r="C26" s="474"/>
      <c r="D26" s="118"/>
      <c r="E26" s="118"/>
      <c r="F26" s="118"/>
      <c r="G26" s="118"/>
      <c r="H26" s="25"/>
      <c r="J26" s="44"/>
    </row>
    <row r="27" spans="1:10" x14ac:dyDescent="0.25">
      <c r="B27" s="473"/>
      <c r="C27" s="474"/>
      <c r="D27" s="118"/>
      <c r="E27" s="118"/>
      <c r="F27" s="118"/>
      <c r="G27" s="118"/>
      <c r="H27" s="25"/>
      <c r="J27" s="44"/>
    </row>
    <row r="28" spans="1:10" x14ac:dyDescent="0.25">
      <c r="B28" s="473"/>
      <c r="C28" s="474"/>
      <c r="D28" s="118"/>
      <c r="E28" s="118"/>
      <c r="F28" s="118"/>
      <c r="G28" s="118"/>
      <c r="H28" s="25"/>
      <c r="J28" s="44"/>
    </row>
    <row r="29" spans="1:10" x14ac:dyDescent="0.25">
      <c r="B29" s="473"/>
      <c r="C29" s="474"/>
      <c r="D29" s="118"/>
      <c r="E29" s="118"/>
      <c r="F29" s="118"/>
      <c r="G29" s="118"/>
      <c r="H29" s="25"/>
      <c r="J29" s="44"/>
    </row>
    <row r="30" spans="1:10" x14ac:dyDescent="0.25">
      <c r="B30" s="475"/>
      <c r="C30" s="476"/>
      <c r="D30" s="118"/>
      <c r="E30" s="118"/>
      <c r="F30" s="118"/>
      <c r="G30" s="118"/>
      <c r="H30" s="25"/>
      <c r="J30" s="44"/>
    </row>
    <row r="31" spans="1:10" x14ac:dyDescent="0.25">
      <c r="C31" s="31"/>
      <c r="E31" s="25"/>
      <c r="F31" s="25"/>
      <c r="G31" s="25"/>
      <c r="H31" s="25"/>
      <c r="J31" s="44"/>
    </row>
    <row r="32" spans="1:10" s="50" customFormat="1" x14ac:dyDescent="0.25">
      <c r="A32" s="25"/>
      <c r="B32" s="25"/>
      <c r="C32" s="1"/>
      <c r="D32" s="36"/>
      <c r="E32" s="56"/>
      <c r="G32" s="29"/>
      <c r="H32" s="29"/>
      <c r="I32" s="29"/>
    </row>
    <row r="33" spans="1:9" s="50" customFormat="1" x14ac:dyDescent="0.25">
      <c r="A33" s="25"/>
      <c r="B33" s="25"/>
      <c r="C33" s="1"/>
      <c r="D33" s="36"/>
      <c r="E33" s="56"/>
      <c r="G33" s="29"/>
      <c r="H33" s="29"/>
      <c r="I33" s="29"/>
    </row>
    <row r="34" spans="1:9" s="50" customFormat="1" x14ac:dyDescent="0.25">
      <c r="A34" s="25"/>
      <c r="B34" s="25"/>
      <c r="C34" s="1"/>
      <c r="D34" s="36"/>
      <c r="E34" s="56"/>
      <c r="G34" s="29"/>
      <c r="H34" s="29"/>
      <c r="I34" s="29"/>
    </row>
    <row r="35" spans="1:9" s="50" customFormat="1" x14ac:dyDescent="0.25">
      <c r="A35" s="25"/>
      <c r="B35" s="25"/>
      <c r="C35" s="1"/>
      <c r="D35" s="36"/>
      <c r="E35" s="56"/>
      <c r="G35" s="29"/>
      <c r="H35" s="29"/>
      <c r="I35" s="29"/>
    </row>
    <row r="36" spans="1:9" s="50" customFormat="1" x14ac:dyDescent="0.25">
      <c r="A36" s="25"/>
      <c r="B36" s="25"/>
      <c r="C36" s="1"/>
      <c r="D36" s="36"/>
      <c r="E36" s="56"/>
      <c r="G36" s="29"/>
      <c r="H36" s="29"/>
      <c r="I36" s="29"/>
    </row>
    <row r="37" spans="1:9" s="50" customFormat="1" x14ac:dyDescent="0.25">
      <c r="A37" s="25"/>
      <c r="B37" s="25"/>
      <c r="C37" s="25"/>
      <c r="D37" s="36"/>
      <c r="E37" s="56"/>
      <c r="G37" s="29"/>
      <c r="H37" s="29"/>
      <c r="I37" s="29"/>
    </row>
    <row r="38" spans="1:9" s="50" customFormat="1" x14ac:dyDescent="0.25">
      <c r="A38" s="25"/>
      <c r="B38" s="25"/>
      <c r="C38" s="1"/>
      <c r="D38" s="36"/>
      <c r="E38" s="56"/>
      <c r="G38" s="29"/>
      <c r="H38" s="29"/>
      <c r="I38" s="29"/>
    </row>
    <row r="39" spans="1:9" s="50" customFormat="1" x14ac:dyDescent="0.25">
      <c r="A39" s="25"/>
      <c r="B39" s="25"/>
      <c r="C39" s="1"/>
      <c r="D39" s="36"/>
      <c r="E39" s="56"/>
      <c r="G39" s="29"/>
      <c r="H39" s="29"/>
      <c r="I39" s="29"/>
    </row>
    <row r="40" spans="1:9" s="50" customFormat="1" x14ac:dyDescent="0.25">
      <c r="A40" s="25"/>
      <c r="B40" s="25"/>
      <c r="C40" s="1"/>
      <c r="D40" s="36"/>
      <c r="E40" s="56"/>
      <c r="G40" s="29"/>
      <c r="H40" s="29"/>
      <c r="I40" s="29"/>
    </row>
    <row r="41" spans="1:9" s="50" customFormat="1" x14ac:dyDescent="0.25">
      <c r="A41" s="25"/>
      <c r="B41" s="25"/>
      <c r="C41" s="1"/>
      <c r="D41" s="36"/>
      <c r="E41" s="56"/>
      <c r="G41" s="29"/>
      <c r="H41" s="29"/>
      <c r="I41" s="29"/>
    </row>
    <row r="42" spans="1:9" s="50" customFormat="1" x14ac:dyDescent="0.25">
      <c r="A42" s="25"/>
      <c r="B42" s="25"/>
      <c r="C42" s="1"/>
      <c r="D42" s="36"/>
      <c r="E42" s="56"/>
      <c r="G42" s="29"/>
      <c r="H42" s="29"/>
      <c r="I42" s="29"/>
    </row>
    <row r="43" spans="1:9" s="50" customFormat="1" x14ac:dyDescent="0.25">
      <c r="A43" s="25"/>
      <c r="B43" s="25"/>
      <c r="C43" s="1"/>
      <c r="D43" s="36"/>
      <c r="E43" s="56"/>
      <c r="G43" s="29"/>
      <c r="H43" s="29"/>
      <c r="I43" s="29"/>
    </row>
    <row r="44" spans="1:9" s="50" customFormat="1" x14ac:dyDescent="0.25">
      <c r="A44" s="25"/>
      <c r="B44" s="25"/>
      <c r="C44" s="1"/>
      <c r="D44" s="36"/>
      <c r="E44" s="56"/>
      <c r="G44" s="29"/>
      <c r="H44" s="29"/>
      <c r="I44" s="29"/>
    </row>
    <row r="45" spans="1:9" s="50" customFormat="1" x14ac:dyDescent="0.25">
      <c r="A45" s="25"/>
      <c r="B45" s="25"/>
      <c r="C45" s="1"/>
      <c r="D45" s="36"/>
      <c r="E45" s="56"/>
      <c r="G45" s="29"/>
      <c r="H45" s="29"/>
      <c r="I45" s="29"/>
    </row>
    <row r="46" spans="1:9" s="50" customFormat="1" x14ac:dyDescent="0.25">
      <c r="A46" s="25"/>
      <c r="B46" s="25"/>
      <c r="C46" s="1"/>
      <c r="D46" s="36"/>
      <c r="E46" s="56"/>
      <c r="G46" s="29"/>
      <c r="H46" s="29"/>
      <c r="I46" s="29"/>
    </row>
    <row r="47" spans="1:9" s="50" customFormat="1" x14ac:dyDescent="0.25">
      <c r="A47" s="25"/>
      <c r="B47" s="25"/>
      <c r="C47" s="1"/>
      <c r="D47" s="36"/>
      <c r="E47" s="56"/>
      <c r="G47" s="29"/>
      <c r="H47" s="29"/>
      <c r="I47" s="29"/>
    </row>
    <row r="48" spans="1:9" s="50" customFormat="1" x14ac:dyDescent="0.25">
      <c r="A48" s="25"/>
      <c r="B48" s="25"/>
      <c r="C48" s="1"/>
      <c r="D48" s="36"/>
      <c r="E48" s="56"/>
      <c r="G48" s="29"/>
      <c r="H48" s="29"/>
      <c r="I48" s="29"/>
    </row>
    <row r="49" spans="1:9" s="50" customFormat="1" x14ac:dyDescent="0.25">
      <c r="A49" s="25"/>
      <c r="B49" s="25"/>
      <c r="C49" s="1"/>
      <c r="D49" s="36"/>
      <c r="E49" s="56"/>
      <c r="G49" s="29"/>
      <c r="H49" s="29"/>
      <c r="I49" s="29"/>
    </row>
    <row r="50" spans="1:9" s="50" customFormat="1" x14ac:dyDescent="0.25">
      <c r="A50" s="25"/>
      <c r="B50" s="25"/>
      <c r="C50" s="1"/>
      <c r="D50" s="36"/>
      <c r="E50" s="56"/>
      <c r="G50" s="29"/>
      <c r="H50" s="29"/>
      <c r="I50" s="29"/>
    </row>
    <row r="51" spans="1:9" s="50" customFormat="1" x14ac:dyDescent="0.25">
      <c r="A51" s="25"/>
      <c r="B51" s="25"/>
      <c r="C51" s="1"/>
      <c r="D51" s="36"/>
      <c r="E51" s="56"/>
      <c r="G51" s="29"/>
      <c r="H51" s="29"/>
      <c r="I51" s="29"/>
    </row>
    <row r="52" spans="1:9" s="50" customFormat="1" x14ac:dyDescent="0.25">
      <c r="A52" s="25"/>
      <c r="B52" s="25"/>
      <c r="C52" s="1"/>
      <c r="D52" s="36"/>
      <c r="E52" s="56"/>
      <c r="G52" s="29"/>
      <c r="H52" s="29"/>
      <c r="I52" s="29"/>
    </row>
    <row r="53" spans="1:9" s="50" customFormat="1" x14ac:dyDescent="0.25">
      <c r="A53" s="25"/>
      <c r="B53" s="25"/>
      <c r="C53" s="1"/>
      <c r="D53" s="36"/>
      <c r="E53" s="56"/>
      <c r="G53" s="29"/>
      <c r="H53" s="29"/>
      <c r="I53" s="29"/>
    </row>
    <row r="54" spans="1:9" s="50" customFormat="1" x14ac:dyDescent="0.25">
      <c r="A54" s="25"/>
      <c r="B54" s="25"/>
      <c r="C54" s="1"/>
      <c r="D54" s="36"/>
      <c r="E54" s="56"/>
      <c r="G54" s="29"/>
      <c r="H54" s="29"/>
      <c r="I54" s="29"/>
    </row>
    <row r="55" spans="1:9" s="50" customFormat="1" x14ac:dyDescent="0.25">
      <c r="A55" s="25"/>
      <c r="B55" s="25"/>
      <c r="C55" s="1"/>
      <c r="D55" s="36"/>
      <c r="E55" s="56"/>
      <c r="G55" s="29"/>
      <c r="H55" s="29"/>
      <c r="I55" s="29"/>
    </row>
    <row r="56" spans="1:9" s="50" customFormat="1" x14ac:dyDescent="0.25">
      <c r="A56" s="25"/>
      <c r="B56" s="25"/>
      <c r="C56" s="1"/>
      <c r="D56" s="36"/>
      <c r="E56" s="56"/>
      <c r="G56" s="29"/>
      <c r="H56" s="29"/>
      <c r="I56" s="29"/>
    </row>
    <row r="57" spans="1:9" s="50" customFormat="1" x14ac:dyDescent="0.25">
      <c r="A57" s="25"/>
      <c r="B57" s="25"/>
      <c r="C57" s="1"/>
      <c r="D57" s="36"/>
      <c r="E57" s="56"/>
      <c r="G57" s="29"/>
      <c r="H57" s="29"/>
      <c r="I57" s="29"/>
    </row>
    <row r="58" spans="1:9" s="50" customFormat="1" x14ac:dyDescent="0.25">
      <c r="A58" s="25"/>
      <c r="B58" s="25"/>
      <c r="C58" s="1"/>
      <c r="D58" s="36"/>
      <c r="E58" s="56"/>
      <c r="G58" s="29"/>
      <c r="H58" s="29"/>
      <c r="I58" s="29"/>
    </row>
    <row r="59" spans="1:9" s="50" customFormat="1" x14ac:dyDescent="0.25">
      <c r="A59" s="25"/>
      <c r="B59" s="25"/>
      <c r="C59" s="1"/>
      <c r="D59" s="36"/>
      <c r="E59" s="56"/>
      <c r="G59" s="29"/>
      <c r="H59" s="29"/>
      <c r="I59" s="29"/>
    </row>
    <row r="60" spans="1:9" s="50" customFormat="1" x14ac:dyDescent="0.25">
      <c r="A60" s="25"/>
      <c r="B60" s="25"/>
      <c r="C60" s="1"/>
      <c r="D60" s="36"/>
      <c r="E60" s="56"/>
      <c r="G60" s="29"/>
      <c r="H60" s="29"/>
      <c r="I60" s="29"/>
    </row>
    <row r="61" spans="1:9" s="50" customFormat="1" x14ac:dyDescent="0.25">
      <c r="A61" s="25"/>
      <c r="B61" s="25"/>
      <c r="C61" s="1"/>
      <c r="D61" s="36"/>
      <c r="E61" s="56"/>
      <c r="G61" s="29"/>
      <c r="H61" s="29"/>
      <c r="I61" s="29"/>
    </row>
    <row r="62" spans="1:9" s="50" customFormat="1" x14ac:dyDescent="0.25">
      <c r="A62" s="25"/>
      <c r="B62" s="25"/>
      <c r="C62" s="1"/>
      <c r="D62" s="36"/>
      <c r="E62" s="56"/>
      <c r="G62" s="29"/>
      <c r="H62" s="29"/>
      <c r="I62" s="29"/>
    </row>
    <row r="63" spans="1:9" s="50" customFormat="1" x14ac:dyDescent="0.25">
      <c r="A63" s="25"/>
      <c r="B63" s="25"/>
      <c r="C63" s="1"/>
      <c r="D63" s="36"/>
      <c r="E63" s="56"/>
      <c r="G63" s="29"/>
      <c r="H63" s="29"/>
      <c r="I63" s="29"/>
    </row>
    <row r="64" spans="1:9" s="50" customFormat="1" x14ac:dyDescent="0.25">
      <c r="A64" s="25"/>
      <c r="B64" s="25"/>
      <c r="C64" s="1"/>
      <c r="D64" s="36"/>
      <c r="E64" s="56"/>
      <c r="G64" s="29"/>
      <c r="H64" s="29"/>
      <c r="I64" s="29"/>
    </row>
    <row r="65" spans="1:9" s="50" customFormat="1" x14ac:dyDescent="0.25">
      <c r="A65" s="25"/>
      <c r="B65" s="25"/>
      <c r="C65" s="1"/>
      <c r="D65" s="36"/>
      <c r="E65" s="56"/>
      <c r="G65" s="29"/>
      <c r="H65" s="29"/>
      <c r="I65" s="29"/>
    </row>
    <row r="66" spans="1:9" s="50" customFormat="1" x14ac:dyDescent="0.25">
      <c r="A66" s="25"/>
      <c r="B66" s="25"/>
      <c r="C66" s="1"/>
      <c r="D66" s="36"/>
      <c r="E66" s="56"/>
      <c r="G66" s="29"/>
      <c r="H66" s="29"/>
      <c r="I66" s="29"/>
    </row>
    <row r="67" spans="1:9" s="50" customFormat="1" x14ac:dyDescent="0.25">
      <c r="A67" s="25"/>
      <c r="B67" s="25"/>
      <c r="C67" s="1"/>
      <c r="D67" s="36"/>
      <c r="E67" s="56"/>
      <c r="G67" s="29"/>
      <c r="H67" s="29"/>
      <c r="I67" s="29"/>
    </row>
    <row r="68" spans="1:9" s="50" customFormat="1" x14ac:dyDescent="0.25">
      <c r="A68" s="25"/>
      <c r="B68" s="25"/>
      <c r="C68" s="1"/>
      <c r="D68" s="36"/>
      <c r="E68" s="56"/>
      <c r="G68" s="29"/>
      <c r="H68" s="29"/>
      <c r="I68" s="29"/>
    </row>
    <row r="69" spans="1:9" s="50" customFormat="1" x14ac:dyDescent="0.25">
      <c r="A69" s="25"/>
      <c r="B69" s="25"/>
      <c r="C69" s="1"/>
      <c r="D69" s="36"/>
      <c r="E69" s="56"/>
      <c r="G69" s="29"/>
      <c r="H69" s="29"/>
      <c r="I69" s="29"/>
    </row>
    <row r="70" spans="1:9" s="50" customFormat="1" x14ac:dyDescent="0.25">
      <c r="A70" s="25"/>
      <c r="B70" s="25"/>
      <c r="C70" s="1"/>
      <c r="D70" s="36"/>
      <c r="E70" s="56"/>
      <c r="G70" s="29"/>
      <c r="H70" s="29"/>
      <c r="I70" s="29"/>
    </row>
    <row r="71" spans="1:9" s="50" customFormat="1" x14ac:dyDescent="0.25">
      <c r="A71" s="25"/>
      <c r="B71" s="25"/>
      <c r="C71" s="1"/>
      <c r="D71" s="36"/>
      <c r="E71" s="56"/>
      <c r="G71" s="29"/>
      <c r="H71" s="29"/>
      <c r="I71" s="29"/>
    </row>
    <row r="72" spans="1:9" s="50" customFormat="1" x14ac:dyDescent="0.25">
      <c r="A72" s="25"/>
      <c r="B72" s="25"/>
      <c r="C72" s="1"/>
      <c r="D72" s="36"/>
      <c r="E72" s="56"/>
      <c r="G72" s="29"/>
      <c r="H72" s="29"/>
      <c r="I72" s="29"/>
    </row>
    <row r="73" spans="1:9" s="50" customFormat="1" x14ac:dyDescent="0.25">
      <c r="A73" s="25"/>
      <c r="B73" s="25"/>
      <c r="C73" s="1"/>
      <c r="D73" s="36"/>
      <c r="E73" s="56"/>
      <c r="G73" s="29"/>
      <c r="H73" s="29"/>
      <c r="I73" s="29"/>
    </row>
    <row r="74" spans="1:9" s="50" customFormat="1" x14ac:dyDescent="0.25">
      <c r="A74" s="25"/>
      <c r="B74" s="25"/>
      <c r="C74" s="1"/>
      <c r="D74" s="36"/>
      <c r="E74" s="56"/>
      <c r="G74" s="29"/>
      <c r="H74" s="29"/>
      <c r="I74" s="29"/>
    </row>
    <row r="75" spans="1:9" s="50" customFormat="1" x14ac:dyDescent="0.25">
      <c r="A75" s="25"/>
      <c r="B75" s="25"/>
      <c r="C75" s="1"/>
      <c r="D75" s="36"/>
      <c r="E75" s="56"/>
      <c r="G75" s="29"/>
      <c r="H75" s="29"/>
      <c r="I75" s="29"/>
    </row>
    <row r="76" spans="1:9" s="50" customFormat="1" x14ac:dyDescent="0.25">
      <c r="A76" s="25"/>
      <c r="B76" s="25"/>
      <c r="C76" s="1"/>
      <c r="D76" s="36"/>
      <c r="E76" s="56"/>
      <c r="G76" s="29"/>
      <c r="H76" s="29"/>
      <c r="I76" s="29"/>
    </row>
    <row r="77" spans="1:9" s="50" customFormat="1" x14ac:dyDescent="0.25">
      <c r="A77" s="25"/>
      <c r="B77" s="25"/>
      <c r="C77" s="1"/>
      <c r="D77" s="36"/>
      <c r="E77" s="56"/>
      <c r="G77" s="29"/>
      <c r="H77" s="29"/>
      <c r="I77" s="29"/>
    </row>
    <row r="78" spans="1:9" s="50" customFormat="1" x14ac:dyDescent="0.25">
      <c r="A78" s="25"/>
      <c r="B78" s="25"/>
      <c r="C78" s="1"/>
      <c r="D78" s="36"/>
      <c r="E78" s="56"/>
      <c r="G78" s="29"/>
      <c r="H78" s="29"/>
      <c r="I78" s="29"/>
    </row>
    <row r="79" spans="1:9" s="50" customFormat="1" x14ac:dyDescent="0.25">
      <c r="A79" s="25"/>
      <c r="B79" s="25"/>
      <c r="C79" s="1"/>
      <c r="D79" s="36"/>
      <c r="E79" s="56"/>
      <c r="G79" s="29"/>
      <c r="H79" s="29"/>
      <c r="I79" s="29"/>
    </row>
    <row r="80" spans="1:9" s="50" customFormat="1" x14ac:dyDescent="0.25">
      <c r="A80" s="25"/>
      <c r="B80" s="25"/>
      <c r="C80" s="1"/>
      <c r="D80" s="36"/>
      <c r="E80" s="56"/>
      <c r="G80" s="29"/>
      <c r="H80" s="29"/>
      <c r="I80" s="29"/>
    </row>
    <row r="81" spans="1:9" s="50" customFormat="1" x14ac:dyDescent="0.25">
      <c r="A81" s="25"/>
      <c r="B81" s="25"/>
      <c r="C81" s="1"/>
      <c r="D81" s="36"/>
      <c r="E81" s="56"/>
      <c r="G81" s="29"/>
      <c r="H81" s="29"/>
      <c r="I81" s="29"/>
    </row>
    <row r="82" spans="1:9" s="50" customFormat="1" x14ac:dyDescent="0.25">
      <c r="A82" s="25"/>
      <c r="B82" s="25"/>
      <c r="C82" s="1"/>
      <c r="E82" s="56"/>
      <c r="G82" s="29"/>
      <c r="H82" s="29"/>
      <c r="I82" s="29"/>
    </row>
    <row r="83" spans="1:9" s="50" customFormat="1" x14ac:dyDescent="0.25">
      <c r="A83" s="25"/>
      <c r="B83" s="25"/>
      <c r="C83" s="1"/>
      <c r="D83" s="36"/>
      <c r="E83" s="56"/>
      <c r="G83" s="29"/>
      <c r="H83" s="29"/>
      <c r="I83" s="29"/>
    </row>
    <row r="84" spans="1:9" s="50" customFormat="1" x14ac:dyDescent="0.25">
      <c r="A84" s="25"/>
      <c r="B84" s="25"/>
      <c r="C84" s="1"/>
      <c r="D84" s="36"/>
      <c r="E84" s="56"/>
      <c r="G84" s="29"/>
      <c r="H84" s="29"/>
      <c r="I84" s="29"/>
    </row>
  </sheetData>
  <sheetProtection password="C644" sheet="1" objects="1" scenarios="1" selectLockedCells="1"/>
  <mergeCells count="5">
    <mergeCell ref="B16:C30"/>
    <mergeCell ref="B11:C11"/>
    <mergeCell ref="A1:B1"/>
    <mergeCell ref="H2:L11"/>
    <mergeCell ref="A2:C2"/>
  </mergeCells>
  <phoneticPr fontId="32" type="noConversion"/>
  <dataValidations count="1">
    <dataValidation type="list" allowBlank="1" showInputMessage="1" showErrorMessage="1" sqref="C8 C5">
      <formula1>Liste_oui_non_NSP</formula1>
    </dataValidation>
  </dataValidations>
  <pageMargins left="0.25" right="0.25" top="0.75" bottom="0.75" header="0.3" footer="0.3"/>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16"/>
  <sheetViews>
    <sheetView showGridLines="0" zoomScaleNormal="100" zoomScaleSheetLayoutView="85" workbookViewId="0">
      <selection activeCell="C11" sqref="C11"/>
    </sheetView>
  </sheetViews>
  <sheetFormatPr baseColWidth="10" defaultRowHeight="14.25" x14ac:dyDescent="0.25"/>
  <cols>
    <col min="1" max="1" width="5" style="190" customWidth="1"/>
    <col min="2" max="2" width="58.42578125" style="190" customWidth="1"/>
    <col min="3" max="3" width="29.28515625" style="199" customWidth="1"/>
    <col min="4" max="4" width="4.42578125" style="199" customWidth="1"/>
    <col min="5" max="5" width="11.5703125" style="232" hidden="1" customWidth="1"/>
    <col min="6" max="6" width="13.140625" style="195" hidden="1" customWidth="1"/>
    <col min="7" max="7" width="11.42578125" style="193" hidden="1" customWidth="1"/>
    <col min="8" max="8" width="49.85546875" style="194" hidden="1" customWidth="1"/>
    <col min="9" max="9" width="11.42578125" style="194" hidden="1" customWidth="1"/>
    <col min="10" max="10" width="11.42578125" style="191" hidden="1" customWidth="1"/>
    <col min="11" max="11" width="18.7109375" style="191" customWidth="1"/>
    <col min="12" max="16" width="17.5703125" style="191" customWidth="1"/>
    <col min="17" max="16384" width="11.42578125" style="191"/>
  </cols>
  <sheetData>
    <row r="1" spans="1:16" ht="8.25" customHeight="1" thickBot="1" x14ac:dyDescent="0.3"/>
    <row r="2" spans="1:16" ht="24" thickBot="1" x14ac:dyDescent="0.3">
      <c r="A2" s="481" t="s">
        <v>17</v>
      </c>
      <c r="B2" s="481"/>
      <c r="C2" s="378" t="str">
        <f>IF(F21="1B",C25,IF(F21="1C",C52,C6))</f>
        <v>Risque fort</v>
      </c>
      <c r="D2" s="190"/>
      <c r="E2" s="191"/>
      <c r="F2" s="192" t="s">
        <v>359</v>
      </c>
    </row>
    <row r="3" spans="1:16" s="216" customFormat="1" ht="48.75" customHeight="1" x14ac:dyDescent="0.25">
      <c r="A3" s="480" t="s">
        <v>26</v>
      </c>
      <c r="B3" s="480"/>
      <c r="C3" s="480"/>
      <c r="D3" s="231"/>
      <c r="E3" s="231"/>
      <c r="F3" s="382"/>
      <c r="G3" s="382"/>
      <c r="H3" s="383"/>
      <c r="I3" s="383"/>
      <c r="L3" s="479" t="s">
        <v>551</v>
      </c>
      <c r="M3" s="479"/>
      <c r="N3" s="479"/>
      <c r="O3" s="479"/>
      <c r="P3" s="479"/>
    </row>
    <row r="4" spans="1:16" x14ac:dyDescent="0.25">
      <c r="L4" s="479"/>
      <c r="M4" s="479"/>
      <c r="N4" s="479"/>
      <c r="O4" s="479"/>
      <c r="P4" s="479"/>
    </row>
    <row r="5" spans="1:16" x14ac:dyDescent="0.25">
      <c r="L5" s="479"/>
      <c r="M5" s="479"/>
      <c r="N5" s="479"/>
      <c r="O5" s="479"/>
      <c r="P5" s="479"/>
    </row>
    <row r="6" spans="1:16" s="219" customFormat="1" ht="18" x14ac:dyDescent="0.25">
      <c r="A6" s="171" t="s">
        <v>493</v>
      </c>
      <c r="B6" s="161" t="s">
        <v>491</v>
      </c>
      <c r="C6" s="257" t="str">
        <f>IF(SUM(F8:F17)&lt;4,"Risque fort","Risque faible")</f>
        <v>Risque fort</v>
      </c>
      <c r="D6" s="233"/>
      <c r="E6" s="233"/>
      <c r="F6" s="384"/>
      <c r="G6" s="385"/>
      <c r="H6" s="386"/>
      <c r="I6" s="386"/>
      <c r="L6" s="479"/>
      <c r="M6" s="479"/>
      <c r="N6" s="479"/>
      <c r="O6" s="479"/>
      <c r="P6" s="479"/>
    </row>
    <row r="7" spans="1:16" ht="15" thickBot="1" x14ac:dyDescent="0.25">
      <c r="C7" s="234"/>
      <c r="D7" s="235"/>
      <c r="E7" s="236"/>
      <c r="G7" s="237" t="s">
        <v>330</v>
      </c>
      <c r="H7" s="237" t="s">
        <v>301</v>
      </c>
      <c r="I7" s="237"/>
      <c r="L7" s="479"/>
      <c r="M7" s="479"/>
      <c r="N7" s="479"/>
      <c r="O7" s="479"/>
      <c r="P7" s="479"/>
    </row>
    <row r="8" spans="1:16" s="197" customFormat="1" ht="15.75" thickBot="1" x14ac:dyDescent="0.25">
      <c r="A8" s="196"/>
      <c r="B8" s="341" t="s">
        <v>293</v>
      </c>
      <c r="C8" s="220" t="s">
        <v>310</v>
      </c>
      <c r="D8" s="190"/>
      <c r="E8" s="191"/>
      <c r="F8" s="195">
        <f>IF(C9="Pays membre de l'Union Européenne",1,0)</f>
        <v>0</v>
      </c>
      <c r="G8" s="238"/>
      <c r="H8" s="238"/>
      <c r="I8" s="238"/>
      <c r="L8" s="479"/>
      <c r="M8" s="479"/>
      <c r="N8" s="479"/>
      <c r="O8" s="479"/>
      <c r="P8" s="479"/>
    </row>
    <row r="9" spans="1:16" ht="48" x14ac:dyDescent="0.2">
      <c r="B9" s="226" t="s">
        <v>309</v>
      </c>
      <c r="C9" s="221" t="str">
        <f>VLOOKUP(C8,Listes!$L$2:$P$236,3,0)</f>
        <v>Origine géographique inconnue</v>
      </c>
      <c r="D9" s="190"/>
      <c r="E9" s="191"/>
      <c r="G9" s="200" t="s">
        <v>27</v>
      </c>
      <c r="H9" s="239"/>
      <c r="I9" s="200">
        <v>2</v>
      </c>
      <c r="L9" s="479"/>
      <c r="M9" s="479"/>
      <c r="N9" s="479"/>
      <c r="O9" s="479"/>
      <c r="P9" s="479"/>
    </row>
    <row r="10" spans="1:16" ht="15" thickBot="1" x14ac:dyDescent="0.25">
      <c r="B10" s="222"/>
      <c r="C10" s="223"/>
      <c r="D10" s="190"/>
      <c r="E10" s="191"/>
      <c r="G10" s="200" t="s">
        <v>28</v>
      </c>
      <c r="H10" s="200"/>
      <c r="I10" s="200">
        <v>0</v>
      </c>
      <c r="L10" s="479"/>
      <c r="M10" s="479"/>
      <c r="N10" s="479"/>
      <c r="O10" s="479"/>
      <c r="P10" s="479"/>
    </row>
    <row r="11" spans="1:16" s="197" customFormat="1" ht="15.75" thickBot="1" x14ac:dyDescent="0.25">
      <c r="A11" s="196"/>
      <c r="B11" s="341" t="s">
        <v>292</v>
      </c>
      <c r="C11" s="220" t="s">
        <v>310</v>
      </c>
      <c r="D11" s="190"/>
      <c r="E11" s="191"/>
      <c r="F11" s="195">
        <f>IF(C12="Pays membre de l'Union Européenne",4,0)*F8</f>
        <v>0</v>
      </c>
      <c r="G11" s="200" t="s">
        <v>311</v>
      </c>
      <c r="H11" s="200"/>
      <c r="I11" s="200">
        <v>0</v>
      </c>
      <c r="L11" s="479"/>
      <c r="M11" s="479"/>
      <c r="N11" s="479"/>
      <c r="O11" s="479"/>
      <c r="P11" s="479"/>
    </row>
    <row r="12" spans="1:16" s="197" customFormat="1" ht="36" x14ac:dyDescent="0.2">
      <c r="A12" s="196"/>
      <c r="B12" s="226" t="s">
        <v>313</v>
      </c>
      <c r="C12" s="221" t="str">
        <f>VLOOKUP(C11,Listes!$L$2:$P$236,3,0)</f>
        <v>Origine géographique inconnue</v>
      </c>
      <c r="D12" s="190"/>
      <c r="E12" s="191"/>
      <c r="F12" s="195"/>
      <c r="G12" s="240"/>
      <c r="H12" s="240"/>
      <c r="I12" s="240"/>
      <c r="L12" s="479"/>
      <c r="M12" s="479"/>
      <c r="N12" s="479"/>
      <c r="O12" s="479"/>
      <c r="P12" s="479"/>
    </row>
    <row r="13" spans="1:16" ht="23.25" thickBot="1" x14ac:dyDescent="0.25">
      <c r="B13" s="222"/>
      <c r="C13" s="223"/>
      <c r="D13" s="190"/>
      <c r="E13" s="191"/>
      <c r="G13" s="200" t="s">
        <v>299</v>
      </c>
      <c r="H13" s="200" t="s">
        <v>302</v>
      </c>
      <c r="I13" s="200">
        <v>4</v>
      </c>
      <c r="L13" s="479"/>
      <c r="M13" s="479"/>
      <c r="N13" s="479"/>
      <c r="O13" s="479"/>
      <c r="P13" s="479"/>
    </row>
    <row r="14" spans="1:16" ht="45.75" thickBot="1" x14ac:dyDescent="0.25">
      <c r="B14" s="380" t="s">
        <v>5</v>
      </c>
      <c r="C14" s="220" t="s">
        <v>311</v>
      </c>
      <c r="D14" s="190"/>
      <c r="E14" s="191"/>
      <c r="F14" s="195">
        <f>VLOOKUP(C14,$G$13:$I$17,3,0)</f>
        <v>0</v>
      </c>
      <c r="G14" s="200" t="s">
        <v>336</v>
      </c>
      <c r="H14" s="200" t="s">
        <v>332</v>
      </c>
      <c r="I14" s="200">
        <v>4</v>
      </c>
      <c r="L14" s="479"/>
      <c r="M14" s="479"/>
      <c r="N14" s="479"/>
      <c r="O14" s="479"/>
      <c r="P14" s="479"/>
    </row>
    <row r="15" spans="1:16" ht="72" x14ac:dyDescent="0.2">
      <c r="B15" s="226" t="s">
        <v>409</v>
      </c>
      <c r="C15" s="227" t="str">
        <f>VLOOKUP(C14,G13:I17,2,0)</f>
        <v>Si les produits sont couverts par un système de certification, il est précisé dans la référence des produits (dans leur désignation) sur les documents de vente et un numéro de certificat est précisé.</v>
      </c>
      <c r="D15" s="190"/>
      <c r="E15" s="191"/>
      <c r="G15" s="200" t="s">
        <v>298</v>
      </c>
      <c r="H15" s="200" t="s">
        <v>312</v>
      </c>
      <c r="I15" s="200">
        <v>4</v>
      </c>
    </row>
    <row r="16" spans="1:16" ht="45" x14ac:dyDescent="0.2">
      <c r="B16" s="229" t="str">
        <f>IF(C14=Listes!B9,"Si vos produits sont certifiés durable ou légal, merci de compléter votre réponse :","")</f>
        <v/>
      </c>
      <c r="C16" s="222"/>
      <c r="D16" s="190"/>
      <c r="E16" s="191"/>
      <c r="G16" s="200" t="s">
        <v>28</v>
      </c>
      <c r="H16" s="200" t="s">
        <v>325</v>
      </c>
      <c r="I16" s="200">
        <v>0</v>
      </c>
    </row>
    <row r="17" spans="1:9" ht="45" x14ac:dyDescent="0.2">
      <c r="B17" s="380" t="str">
        <f>IF(C14=Listes!B9,"De quel système de certification s'agit-il ?","")</f>
        <v/>
      </c>
      <c r="C17" s="224"/>
      <c r="D17" s="190"/>
      <c r="E17" s="191"/>
      <c r="G17" s="200" t="s">
        <v>311</v>
      </c>
      <c r="H17" s="200" t="s">
        <v>470</v>
      </c>
      <c r="I17" s="200">
        <v>0</v>
      </c>
    </row>
    <row r="18" spans="1:9" x14ac:dyDescent="0.25">
      <c r="B18" s="225"/>
      <c r="C18" s="223"/>
      <c r="D18" s="190"/>
      <c r="E18" s="191"/>
    </row>
    <row r="19" spans="1:9" x14ac:dyDescent="0.25">
      <c r="B19" s="225"/>
      <c r="C19" s="223"/>
      <c r="D19" s="190"/>
      <c r="E19" s="191"/>
    </row>
    <row r="20" spans="1:9" ht="18" x14ac:dyDescent="0.25">
      <c r="B20" s="379" t="s">
        <v>326</v>
      </c>
      <c r="C20" s="223"/>
      <c r="D20" s="190"/>
      <c r="E20" s="191"/>
    </row>
    <row r="21" spans="1:9" ht="63.75" customHeight="1" x14ac:dyDescent="0.25">
      <c r="A21" s="191"/>
      <c r="B21" s="477" t="str">
        <f>VLOOKUP(CONCATENATE(C9," ; ",C12," ; ",F14),Commentaires!$E$1:$G$19,3,0)</f>
        <v>La connaissance de l'origine géographique du fournisseur est indispensable à l'évaluation.</v>
      </c>
      <c r="C21" s="477"/>
      <c r="E21" s="191"/>
      <c r="F21" s="387" t="str">
        <f>VLOOKUP(CONCATENATE(C9," ; ",C12," ; ",F14),Commentaires!$E$1:$H$19,4,0)</f>
        <v>Recommencer</v>
      </c>
    </row>
    <row r="22" spans="1:9" x14ac:dyDescent="0.25">
      <c r="B22" s="489" t="str">
        <f>VLOOKUP(CONCATENATE(C9," ; ",C12," ; ",F14),Commentaires!$E$1:$G$19,2,0)</f>
        <v>&gt;&gt; Recommencer l'évaluation avec les éléments indispensables (localité du fournisseur et de la récolte).</v>
      </c>
      <c r="C22" s="489"/>
      <c r="D22" s="190"/>
      <c r="E22" s="191"/>
    </row>
    <row r="23" spans="1:9" x14ac:dyDescent="0.25">
      <c r="B23" s="222"/>
      <c r="C23" s="221"/>
      <c r="D23" s="190"/>
      <c r="E23" s="191"/>
    </row>
    <row r="24" spans="1:9" x14ac:dyDescent="0.25">
      <c r="B24" s="222"/>
      <c r="C24" s="222"/>
      <c r="D24" s="190"/>
      <c r="E24" s="191"/>
    </row>
    <row r="25" spans="1:9" s="219" customFormat="1" ht="36" x14ac:dyDescent="0.25">
      <c r="A25" s="171" t="s">
        <v>493</v>
      </c>
      <c r="B25" s="161" t="s">
        <v>492</v>
      </c>
      <c r="C25" s="257" t="str">
        <f>IF(F21="1B",IF(SUM(F28:F48)&gt;13,"Risque faible",IF(SUM(F28:F48)&gt;11,"Risque moyen","Risque fort")),"Non applicable")</f>
        <v>Non applicable</v>
      </c>
      <c r="D25" s="233"/>
      <c r="E25" s="233"/>
      <c r="F25" s="384" t="str">
        <f>IF(C25="Non applicable",C25,SUM(F28:F48)/(COUNTA(F28:F48)*2))</f>
        <v>Non applicable</v>
      </c>
      <c r="G25" s="385"/>
      <c r="H25" s="386"/>
      <c r="I25" s="386"/>
    </row>
    <row r="26" spans="1:9" x14ac:dyDescent="0.25">
      <c r="A26" s="191"/>
      <c r="B26" s="228" t="s">
        <v>327</v>
      </c>
      <c r="D26" s="190"/>
      <c r="E26" s="191"/>
    </row>
    <row r="27" spans="1:9" ht="15" thickBot="1" x14ac:dyDescent="0.3">
      <c r="C27" s="198"/>
      <c r="D27" s="190"/>
      <c r="E27" s="191"/>
    </row>
    <row r="28" spans="1:9" ht="36.75" thickBot="1" x14ac:dyDescent="0.3">
      <c r="B28" s="341" t="s">
        <v>314</v>
      </c>
      <c r="C28" s="220" t="s">
        <v>311</v>
      </c>
      <c r="D28" s="190"/>
      <c r="E28" s="191"/>
      <c r="F28" s="195">
        <f>IF(C28="Oui",0,IF(C28="Non",2,0))</f>
        <v>0</v>
      </c>
    </row>
    <row r="29" spans="1:9" ht="24" x14ac:dyDescent="0.25">
      <c r="B29" s="248" t="s">
        <v>399</v>
      </c>
      <c r="C29" s="222"/>
      <c r="D29" s="190"/>
      <c r="E29" s="191"/>
    </row>
    <row r="30" spans="1:9" x14ac:dyDescent="0.25">
      <c r="A30" s="202"/>
      <c r="B30" s="427" t="s">
        <v>6</v>
      </c>
      <c r="C30" s="222"/>
      <c r="D30" s="190"/>
      <c r="E30" s="191"/>
    </row>
    <row r="31" spans="1:9" ht="15" thickBot="1" x14ac:dyDescent="0.3">
      <c r="A31" s="202"/>
      <c r="B31" s="249"/>
      <c r="C31" s="221"/>
      <c r="D31" s="190"/>
      <c r="E31" s="191"/>
    </row>
    <row r="32" spans="1:9" ht="15" thickBot="1" x14ac:dyDescent="0.3">
      <c r="A32" s="202"/>
      <c r="B32" s="341" t="s">
        <v>7</v>
      </c>
      <c r="C32" s="220" t="s">
        <v>311</v>
      </c>
      <c r="D32" s="190"/>
      <c r="E32" s="191"/>
      <c r="F32" s="195">
        <f>IF(C32="Oui",0,IF(C32="Non",2,0))</f>
        <v>0</v>
      </c>
    </row>
    <row r="33" spans="1:7" x14ac:dyDescent="0.25">
      <c r="A33" s="202"/>
      <c r="B33" s="242" t="s">
        <v>398</v>
      </c>
      <c r="C33" s="222"/>
      <c r="D33" s="190"/>
      <c r="E33" s="191"/>
    </row>
    <row r="34" spans="1:7" x14ac:dyDescent="0.25">
      <c r="A34" s="202"/>
      <c r="B34" s="427" t="s">
        <v>6</v>
      </c>
      <c r="C34" s="222"/>
      <c r="D34" s="190"/>
      <c r="E34" s="191"/>
    </row>
    <row r="35" spans="1:7" ht="15" thickBot="1" x14ac:dyDescent="0.3">
      <c r="A35" s="202"/>
      <c r="B35" s="482" t="str">
        <f>IF(C25="Non applicable",CONCATENATE("Non applicable, voir chapitre ci-dessous (",B52,")"),"")</f>
        <v>Non applicable, voir chapitre ci-dessous (Analyse des risques liés à un fournisseur européen)</v>
      </c>
      <c r="C35" s="482"/>
      <c r="D35" s="190"/>
      <c r="E35" s="191"/>
    </row>
    <row r="36" spans="1:7" ht="15" thickBot="1" x14ac:dyDescent="0.3">
      <c r="A36" s="202"/>
      <c r="B36" s="341" t="s">
        <v>8</v>
      </c>
      <c r="C36" s="220" t="s">
        <v>311</v>
      </c>
      <c r="D36" s="190"/>
      <c r="E36" s="191"/>
      <c r="F36" s="195">
        <f>IF(C36="Oui",0,IF(C36="Non",2,0))</f>
        <v>0</v>
      </c>
    </row>
    <row r="37" spans="1:7" x14ac:dyDescent="0.25">
      <c r="A37" s="202"/>
      <c r="B37" s="242" t="s">
        <v>9</v>
      </c>
      <c r="C37" s="222"/>
      <c r="D37" s="190"/>
      <c r="E37" s="191"/>
    </row>
    <row r="38" spans="1:7" ht="15" thickBot="1" x14ac:dyDescent="0.3">
      <c r="A38" s="202"/>
      <c r="B38" s="228"/>
      <c r="C38" s="223"/>
      <c r="D38" s="190"/>
      <c r="E38" s="191"/>
    </row>
    <row r="39" spans="1:7" ht="24.75" thickBot="1" x14ac:dyDescent="0.3">
      <c r="A39" s="202"/>
      <c r="B39" s="341" t="s">
        <v>10</v>
      </c>
      <c r="C39" s="243" t="s">
        <v>311</v>
      </c>
      <c r="D39" s="190"/>
      <c r="E39" s="191"/>
      <c r="F39" s="195">
        <f>IF(C39="Non",0,IF(C39="Oui",2,0))</f>
        <v>0</v>
      </c>
      <c r="G39" s="203"/>
    </row>
    <row r="40" spans="1:7" ht="24" x14ac:dyDescent="0.25">
      <c r="A40" s="202"/>
      <c r="B40" s="250" t="s">
        <v>13</v>
      </c>
      <c r="C40" s="222"/>
      <c r="D40" s="190"/>
      <c r="E40" s="191"/>
    </row>
    <row r="41" spans="1:7" ht="15" thickBot="1" x14ac:dyDescent="0.3">
      <c r="A41" s="202"/>
      <c r="B41" s="228"/>
      <c r="C41" s="223"/>
      <c r="D41" s="190"/>
      <c r="E41" s="191"/>
    </row>
    <row r="42" spans="1:7" ht="36.75" thickBot="1" x14ac:dyDescent="0.3">
      <c r="A42" s="202"/>
      <c r="B42" s="341" t="s">
        <v>11</v>
      </c>
      <c r="C42" s="220" t="s">
        <v>311</v>
      </c>
      <c r="D42" s="190"/>
      <c r="E42" s="191"/>
      <c r="F42" s="195">
        <f>IF(C42="Non",0,IF(C42="Oui",2,0))</f>
        <v>0</v>
      </c>
    </row>
    <row r="43" spans="1:7" x14ac:dyDescent="0.25">
      <c r="A43" s="202"/>
      <c r="B43" s="427" t="s">
        <v>6</v>
      </c>
      <c r="C43" s="222"/>
      <c r="D43" s="190"/>
      <c r="E43" s="191"/>
    </row>
    <row r="44" spans="1:7" ht="15" thickBot="1" x14ac:dyDescent="0.3">
      <c r="A44" s="202"/>
      <c r="B44" s="228"/>
      <c r="C44" s="223"/>
      <c r="D44" s="190"/>
      <c r="E44" s="191"/>
    </row>
    <row r="45" spans="1:7" ht="24.75" thickBot="1" x14ac:dyDescent="0.3">
      <c r="A45" s="202"/>
      <c r="B45" s="341" t="s">
        <v>14</v>
      </c>
      <c r="C45" s="220" t="s">
        <v>311</v>
      </c>
      <c r="D45" s="190"/>
      <c r="E45" s="191"/>
      <c r="F45" s="195">
        <f>IF(C45="Non",0,IF(C45="Oui",2,0))</f>
        <v>0</v>
      </c>
    </row>
    <row r="46" spans="1:7" x14ac:dyDescent="0.25">
      <c r="B46" s="241" t="s">
        <v>15</v>
      </c>
      <c r="C46" s="222"/>
      <c r="D46" s="190"/>
      <c r="E46" s="191"/>
    </row>
    <row r="47" spans="1:7" ht="15" thickBot="1" x14ac:dyDescent="0.3">
      <c r="B47" s="222"/>
      <c r="C47" s="223"/>
      <c r="D47" s="190"/>
      <c r="E47" s="191"/>
    </row>
    <row r="48" spans="1:7" ht="15" thickBot="1" x14ac:dyDescent="0.3">
      <c r="B48" s="341" t="s">
        <v>16</v>
      </c>
      <c r="C48" s="220"/>
      <c r="D48" s="190"/>
      <c r="E48" s="191"/>
      <c r="F48" s="195">
        <f>IF(C48&lt;20,0,IF(C48&lt;30,1,2))</f>
        <v>0</v>
      </c>
    </row>
    <row r="49" spans="1:9" s="206" customFormat="1" x14ac:dyDescent="0.25">
      <c r="A49" s="205"/>
      <c r="B49" s="428" t="s">
        <v>400</v>
      </c>
      <c r="C49" s="221"/>
      <c r="D49" s="204"/>
      <c r="F49" s="207"/>
      <c r="G49" s="208"/>
      <c r="H49" s="209"/>
      <c r="I49" s="209"/>
    </row>
    <row r="50" spans="1:9" s="206" customFormat="1" ht="22.5" x14ac:dyDescent="0.25">
      <c r="A50" s="210"/>
      <c r="B50" s="416" t="s">
        <v>401</v>
      </c>
      <c r="C50" s="221"/>
      <c r="D50" s="204"/>
      <c r="F50" s="207"/>
      <c r="G50" s="208"/>
      <c r="H50" s="209"/>
      <c r="I50" s="209"/>
    </row>
    <row r="51" spans="1:9" x14ac:dyDescent="0.25">
      <c r="B51" s="222"/>
      <c r="C51" s="223"/>
      <c r="D51" s="190"/>
      <c r="E51" s="191"/>
    </row>
    <row r="52" spans="1:9" s="219" customFormat="1" ht="36" x14ac:dyDescent="0.25">
      <c r="A52" s="171" t="s">
        <v>493</v>
      </c>
      <c r="B52" s="161" t="s">
        <v>494</v>
      </c>
      <c r="C52" s="257" t="str">
        <f>IF(F21="1C",IF(F52&gt;29,"Risque faible",IF(F52&gt;19,"Risque moyen","Risque fort")),"Non applicable")</f>
        <v>Non applicable</v>
      </c>
      <c r="D52" s="233"/>
      <c r="E52" s="233"/>
      <c r="F52" s="401">
        <f>F55*F58</f>
        <v>0</v>
      </c>
      <c r="G52" s="385"/>
      <c r="H52" s="386"/>
      <c r="I52" s="386"/>
    </row>
    <row r="53" spans="1:9" ht="36" x14ac:dyDescent="0.25">
      <c r="A53" s="191"/>
      <c r="B53" s="228" t="s">
        <v>328</v>
      </c>
      <c r="D53" s="190"/>
      <c r="E53" s="191"/>
    </row>
    <row r="54" spans="1:9" ht="22.5" customHeight="1" thickBot="1" x14ac:dyDescent="0.3">
      <c r="B54" s="482" t="str">
        <f>IF(C25="Non applicable","",CONCATENATE("Non applicable, voir chapitre ci-dessus (",B25,")"))</f>
        <v/>
      </c>
      <c r="C54" s="482"/>
      <c r="D54" s="190"/>
      <c r="E54" s="191"/>
    </row>
    <row r="55" spans="1:9" ht="24.75" thickBot="1" x14ac:dyDescent="0.3">
      <c r="B55" s="418" t="s">
        <v>315</v>
      </c>
      <c r="C55" s="220" t="s">
        <v>311</v>
      </c>
      <c r="D55" s="190"/>
      <c r="E55" s="191"/>
      <c r="F55" s="402">
        <f>IF(C55="Non",0,IF(C55="Oui",1,0))</f>
        <v>0</v>
      </c>
    </row>
    <row r="56" spans="1:9" ht="84" customHeight="1" x14ac:dyDescent="0.25">
      <c r="B56" s="419" t="s">
        <v>323</v>
      </c>
      <c r="C56" s="221"/>
      <c r="D56" s="190"/>
      <c r="E56" s="191"/>
    </row>
    <row r="57" spans="1:9" ht="15" thickBot="1" x14ac:dyDescent="0.3">
      <c r="B57" s="420"/>
    </row>
    <row r="58" spans="1:9" ht="15" thickBot="1" x14ac:dyDescent="0.3">
      <c r="B58" s="418" t="s">
        <v>316</v>
      </c>
      <c r="C58" s="220" t="s">
        <v>310</v>
      </c>
      <c r="D58" s="190"/>
      <c r="E58" s="191"/>
      <c r="F58" s="402">
        <f>(IF(C58=Listes!B19,1,IF(C58=Listes!B17,3,IF(C58=Listes!B18,2,0)))*10)+F62</f>
        <v>0</v>
      </c>
    </row>
    <row r="59" spans="1:9" x14ac:dyDescent="0.25">
      <c r="B59" s="419" t="s">
        <v>322</v>
      </c>
      <c r="C59" s="222"/>
      <c r="D59" s="190"/>
      <c r="E59" s="191"/>
    </row>
    <row r="60" spans="1:9" ht="15" thickBot="1" x14ac:dyDescent="0.3">
      <c r="B60" s="421" t="s">
        <v>558</v>
      </c>
      <c r="C60" s="459"/>
      <c r="D60" s="190"/>
      <c r="E60" s="191"/>
      <c r="F60" s="211"/>
    </row>
    <row r="61" spans="1:9" ht="24.75" thickBot="1" x14ac:dyDescent="0.3">
      <c r="B61" s="418" t="s">
        <v>514</v>
      </c>
      <c r="C61" s="220" t="s">
        <v>311</v>
      </c>
      <c r="D61" s="190"/>
      <c r="E61" s="191"/>
      <c r="F61" s="402">
        <f>IF(C61="Non",0,IF(C61="Oui",1,0))</f>
        <v>0</v>
      </c>
    </row>
    <row r="62" spans="1:9" ht="48" x14ac:dyDescent="0.25">
      <c r="B62" s="419" t="s">
        <v>515</v>
      </c>
      <c r="C62" s="251"/>
      <c r="D62" s="190"/>
      <c r="E62" s="191"/>
      <c r="F62" s="403">
        <f>IF(F61=1,10,0)</f>
        <v>0</v>
      </c>
    </row>
    <row r="63" spans="1:9" x14ac:dyDescent="0.25">
      <c r="B63" s="155"/>
      <c r="C63" s="251"/>
      <c r="D63" s="190"/>
      <c r="E63" s="191"/>
      <c r="F63" s="211"/>
    </row>
    <row r="64" spans="1:9" x14ac:dyDescent="0.25">
      <c r="B64" s="222"/>
      <c r="C64" s="223"/>
      <c r="D64" s="190"/>
      <c r="E64" s="191"/>
    </row>
    <row r="65" spans="1:10" x14ac:dyDescent="0.25">
      <c r="B65" s="222"/>
      <c r="C65" s="223"/>
      <c r="D65" s="190"/>
      <c r="E65" s="191"/>
    </row>
    <row r="66" spans="1:10" s="219" customFormat="1" ht="18" x14ac:dyDescent="0.25">
      <c r="A66" s="171" t="s">
        <v>493</v>
      </c>
      <c r="B66" s="230" t="s">
        <v>478</v>
      </c>
      <c r="C66" s="214" t="str">
        <f>CONCATENATE(C88," ",D88," ",E88)</f>
        <v xml:space="preserve">  </v>
      </c>
      <c r="D66" s="233"/>
      <c r="E66" s="233"/>
      <c r="F66" s="384"/>
      <c r="G66" s="385"/>
      <c r="H66" s="386"/>
      <c r="I66" s="386"/>
    </row>
    <row r="67" spans="1:10" x14ac:dyDescent="0.25">
      <c r="C67" s="212"/>
      <c r="D67" s="190"/>
      <c r="E67" s="190"/>
      <c r="F67" s="388"/>
      <c r="G67" s="388"/>
      <c r="H67" s="388"/>
      <c r="I67" s="389"/>
      <c r="J67" s="213"/>
    </row>
    <row r="68" spans="1:10" x14ac:dyDescent="0.25">
      <c r="B68" s="483" t="s">
        <v>507</v>
      </c>
      <c r="C68" s="484"/>
      <c r="D68" s="166"/>
      <c r="E68" s="166"/>
      <c r="F68" s="390"/>
      <c r="G68" s="390"/>
      <c r="H68" s="388"/>
      <c r="I68" s="389"/>
      <c r="J68" s="213"/>
    </row>
    <row r="69" spans="1:10" x14ac:dyDescent="0.25">
      <c r="B69" s="485"/>
      <c r="C69" s="486"/>
      <c r="D69" s="166"/>
      <c r="E69" s="166"/>
      <c r="F69" s="390"/>
      <c r="G69" s="390"/>
      <c r="H69" s="388"/>
      <c r="I69" s="389"/>
      <c r="J69" s="213"/>
    </row>
    <row r="70" spans="1:10" x14ac:dyDescent="0.25">
      <c r="B70" s="485"/>
      <c r="C70" s="486"/>
      <c r="D70" s="166"/>
      <c r="E70" s="166"/>
      <c r="F70" s="390"/>
      <c r="G70" s="390"/>
      <c r="H70" s="388"/>
      <c r="I70" s="389"/>
      <c r="J70" s="213"/>
    </row>
    <row r="71" spans="1:10" x14ac:dyDescent="0.25">
      <c r="B71" s="485"/>
      <c r="C71" s="486"/>
      <c r="D71" s="166"/>
      <c r="E71" s="166"/>
      <c r="F71" s="390"/>
      <c r="G71" s="390"/>
      <c r="H71" s="388"/>
      <c r="I71" s="389"/>
      <c r="J71" s="213"/>
    </row>
    <row r="72" spans="1:10" x14ac:dyDescent="0.25">
      <c r="B72" s="485"/>
      <c r="C72" s="486"/>
      <c r="D72" s="166"/>
      <c r="E72" s="166"/>
      <c r="F72" s="390"/>
      <c r="G72" s="390"/>
      <c r="H72" s="388"/>
      <c r="I72" s="389"/>
      <c r="J72" s="213"/>
    </row>
    <row r="73" spans="1:10" x14ac:dyDescent="0.25">
      <c r="B73" s="485"/>
      <c r="C73" s="486"/>
      <c r="D73" s="166"/>
      <c r="E73" s="166"/>
      <c r="F73" s="390"/>
      <c r="G73" s="390"/>
      <c r="H73" s="388"/>
      <c r="I73" s="389"/>
      <c r="J73" s="213"/>
    </row>
    <row r="74" spans="1:10" x14ac:dyDescent="0.25">
      <c r="B74" s="485"/>
      <c r="C74" s="486"/>
      <c r="D74" s="166"/>
      <c r="E74" s="166"/>
      <c r="F74" s="390"/>
      <c r="G74" s="390"/>
      <c r="H74" s="388"/>
      <c r="I74" s="389"/>
      <c r="J74" s="213"/>
    </row>
    <row r="75" spans="1:10" x14ac:dyDescent="0.25">
      <c r="B75" s="485"/>
      <c r="C75" s="486"/>
      <c r="D75" s="166"/>
      <c r="E75" s="166"/>
      <c r="F75" s="390"/>
      <c r="G75" s="390"/>
      <c r="H75" s="388"/>
      <c r="I75" s="389"/>
      <c r="J75" s="213"/>
    </row>
    <row r="76" spans="1:10" x14ac:dyDescent="0.25">
      <c r="B76" s="485"/>
      <c r="C76" s="486"/>
      <c r="D76" s="166"/>
      <c r="E76" s="166"/>
      <c r="F76" s="390"/>
      <c r="G76" s="390"/>
      <c r="H76" s="388"/>
      <c r="I76" s="389"/>
      <c r="J76" s="213"/>
    </row>
    <row r="77" spans="1:10" x14ac:dyDescent="0.25">
      <c r="B77" s="485"/>
      <c r="C77" s="486"/>
      <c r="D77" s="166"/>
      <c r="E77" s="166"/>
      <c r="F77" s="390"/>
      <c r="G77" s="390"/>
      <c r="H77" s="388"/>
      <c r="I77" s="389"/>
      <c r="J77" s="213"/>
    </row>
    <row r="78" spans="1:10" x14ac:dyDescent="0.25">
      <c r="B78" s="485"/>
      <c r="C78" s="486"/>
      <c r="D78" s="166"/>
      <c r="E78" s="166"/>
      <c r="F78" s="390"/>
      <c r="G78" s="390"/>
      <c r="H78" s="388"/>
      <c r="I78" s="389"/>
      <c r="J78" s="213"/>
    </row>
    <row r="79" spans="1:10" x14ac:dyDescent="0.25">
      <c r="B79" s="485"/>
      <c r="C79" s="486"/>
      <c r="D79" s="166"/>
      <c r="E79" s="166"/>
      <c r="F79" s="390"/>
      <c r="G79" s="390"/>
      <c r="H79" s="388"/>
      <c r="I79" s="389"/>
      <c r="J79" s="213"/>
    </row>
    <row r="80" spans="1:10" x14ac:dyDescent="0.25">
      <c r="B80" s="485"/>
      <c r="C80" s="486"/>
      <c r="D80" s="166"/>
      <c r="E80" s="166"/>
      <c r="F80" s="390"/>
      <c r="G80" s="390"/>
      <c r="H80" s="388"/>
      <c r="I80" s="389"/>
      <c r="J80" s="213"/>
    </row>
    <row r="81" spans="2:10" x14ac:dyDescent="0.25">
      <c r="B81" s="485"/>
      <c r="C81" s="486"/>
      <c r="D81" s="166"/>
      <c r="E81" s="166"/>
      <c r="F81" s="390"/>
      <c r="G81" s="390"/>
      <c r="H81" s="388"/>
      <c r="I81" s="389"/>
      <c r="J81" s="213"/>
    </row>
    <row r="82" spans="2:10" x14ac:dyDescent="0.25">
      <c r="B82" s="487"/>
      <c r="C82" s="488"/>
      <c r="D82" s="166"/>
      <c r="E82" s="166"/>
      <c r="F82" s="390"/>
      <c r="G82" s="390"/>
      <c r="H82" s="388"/>
      <c r="I82" s="389"/>
      <c r="J82" s="213"/>
    </row>
    <row r="83" spans="2:10" x14ac:dyDescent="0.25">
      <c r="C83" s="212"/>
      <c r="D83" s="190"/>
      <c r="E83" s="190"/>
      <c r="F83" s="388"/>
      <c r="G83" s="388"/>
      <c r="H83" s="388"/>
      <c r="I83" s="389"/>
      <c r="J83" s="213"/>
    </row>
    <row r="84" spans="2:10" x14ac:dyDescent="0.25">
      <c r="E84" s="191"/>
    </row>
    <row r="85" spans="2:10" x14ac:dyDescent="0.25">
      <c r="D85" s="190"/>
      <c r="E85" s="191"/>
    </row>
    <row r="86" spans="2:10" x14ac:dyDescent="0.25">
      <c r="D86" s="190"/>
      <c r="E86" s="191"/>
    </row>
    <row r="87" spans="2:10" x14ac:dyDescent="0.25">
      <c r="D87" s="190"/>
      <c r="E87" s="191"/>
    </row>
    <row r="88" spans="2:10" x14ac:dyDescent="0.25">
      <c r="D88" s="190"/>
      <c r="E88" s="191"/>
    </row>
    <row r="89" spans="2:10" x14ac:dyDescent="0.25">
      <c r="D89" s="190"/>
      <c r="E89" s="191"/>
    </row>
    <row r="90" spans="2:10" x14ac:dyDescent="0.25">
      <c r="D90" s="190"/>
      <c r="E90" s="191"/>
    </row>
    <row r="91" spans="2:10" x14ac:dyDescent="0.25">
      <c r="D91" s="190"/>
      <c r="E91" s="191"/>
    </row>
    <row r="92" spans="2:10" x14ac:dyDescent="0.25">
      <c r="D92" s="190"/>
      <c r="E92" s="191"/>
    </row>
    <row r="93" spans="2:10" x14ac:dyDescent="0.25">
      <c r="D93" s="190"/>
      <c r="E93" s="191"/>
    </row>
    <row r="94" spans="2:10" x14ac:dyDescent="0.25">
      <c r="D94" s="190"/>
      <c r="E94" s="191"/>
    </row>
    <row r="95" spans="2:10" x14ac:dyDescent="0.25">
      <c r="D95" s="190"/>
      <c r="E95" s="191"/>
    </row>
    <row r="96" spans="2:10" x14ac:dyDescent="0.25">
      <c r="D96" s="190"/>
      <c r="E96" s="191"/>
    </row>
    <row r="97" spans="4:5" x14ac:dyDescent="0.25">
      <c r="D97" s="190"/>
      <c r="E97" s="191"/>
    </row>
    <row r="98" spans="4:5" x14ac:dyDescent="0.25">
      <c r="D98" s="190"/>
      <c r="E98" s="191"/>
    </row>
    <row r="99" spans="4:5" x14ac:dyDescent="0.25">
      <c r="D99" s="190"/>
      <c r="E99" s="191"/>
    </row>
    <row r="100" spans="4:5" x14ac:dyDescent="0.25">
      <c r="D100" s="190"/>
      <c r="E100" s="191"/>
    </row>
    <row r="101" spans="4:5" x14ac:dyDescent="0.25">
      <c r="D101" s="190"/>
      <c r="E101" s="191"/>
    </row>
    <row r="102" spans="4:5" x14ac:dyDescent="0.25">
      <c r="D102" s="190"/>
      <c r="E102" s="191"/>
    </row>
    <row r="103" spans="4:5" x14ac:dyDescent="0.25">
      <c r="D103" s="190"/>
      <c r="E103" s="191"/>
    </row>
    <row r="104" spans="4:5" x14ac:dyDescent="0.25">
      <c r="D104" s="190"/>
      <c r="E104" s="191"/>
    </row>
    <row r="105" spans="4:5" x14ac:dyDescent="0.25">
      <c r="D105" s="190"/>
      <c r="E105" s="191"/>
    </row>
    <row r="106" spans="4:5" x14ac:dyDescent="0.25">
      <c r="D106" s="190"/>
      <c r="E106" s="191"/>
    </row>
    <row r="107" spans="4:5" x14ac:dyDescent="0.25">
      <c r="D107" s="190"/>
      <c r="E107" s="191"/>
    </row>
    <row r="108" spans="4:5" x14ac:dyDescent="0.25">
      <c r="D108" s="190"/>
      <c r="E108" s="191"/>
    </row>
    <row r="109" spans="4:5" x14ac:dyDescent="0.25">
      <c r="D109" s="190"/>
      <c r="E109" s="191"/>
    </row>
    <row r="110" spans="4:5" x14ac:dyDescent="0.25">
      <c r="D110" s="190"/>
      <c r="E110" s="191"/>
    </row>
    <row r="111" spans="4:5" x14ac:dyDescent="0.25">
      <c r="D111" s="190"/>
      <c r="E111" s="191"/>
    </row>
    <row r="112" spans="4:5" x14ac:dyDescent="0.25">
      <c r="D112" s="190"/>
      <c r="E112" s="191"/>
    </row>
    <row r="113" spans="4:5" x14ac:dyDescent="0.25">
      <c r="D113" s="190"/>
      <c r="E113" s="191"/>
    </row>
    <row r="114" spans="4:5" x14ac:dyDescent="0.25">
      <c r="D114" s="190"/>
      <c r="E114" s="191"/>
    </row>
    <row r="115" spans="4:5" x14ac:dyDescent="0.25">
      <c r="D115" s="190"/>
      <c r="E115" s="191"/>
    </row>
    <row r="116" spans="4:5" x14ac:dyDescent="0.25">
      <c r="D116" s="190"/>
      <c r="E116" s="191"/>
    </row>
  </sheetData>
  <sheetProtection password="C644" sheet="1" objects="1" scenarios="1" selectLockedCells="1"/>
  <mergeCells count="8">
    <mergeCell ref="L3:P14"/>
    <mergeCell ref="A2:B2"/>
    <mergeCell ref="B54:C54"/>
    <mergeCell ref="B68:C82"/>
    <mergeCell ref="B21:C21"/>
    <mergeCell ref="B22:C22"/>
    <mergeCell ref="B35:C35"/>
    <mergeCell ref="A3:C3"/>
  </mergeCells>
  <phoneticPr fontId="32" type="noConversion"/>
  <conditionalFormatting sqref="C17">
    <cfRule type="expression" dxfId="60" priority="30" stopIfTrue="1">
      <formula>$C$14=$G$14</formula>
    </cfRule>
  </conditionalFormatting>
  <conditionalFormatting sqref="B35:C35 A24:XFD24 B53:XFD53">
    <cfRule type="expression" dxfId="59" priority="32" stopIfTrue="1">
      <formula>$F$21="Fin"</formula>
    </cfRule>
  </conditionalFormatting>
  <conditionalFormatting sqref="C26 B27:C29 B36:C42 B31:C33 C30 C34 B44:C48 C43 B51:C51 C49:C50 A27:A51 D26:IU51">
    <cfRule type="expression" dxfId="58" priority="33" stopIfTrue="1">
      <formula>$F$21="Fin"</formula>
    </cfRule>
    <cfRule type="expression" dxfId="57" priority="34" stopIfTrue="1">
      <formula>$F$21="1C"</formula>
    </cfRule>
  </conditionalFormatting>
  <conditionalFormatting sqref="C55:XFD56 A64:XFD65 A60:XFD60 C58:XFD59 D54:XFD54 A61:A63 A58:A59 A54:A56 C61:XFD63">
    <cfRule type="expression" dxfId="56" priority="35" stopIfTrue="1">
      <formula>$F$21="Fin"</formula>
    </cfRule>
    <cfRule type="expression" dxfId="55" priority="36" stopIfTrue="1">
      <formula>$F$21="1B"</formula>
    </cfRule>
  </conditionalFormatting>
  <conditionalFormatting sqref="B26">
    <cfRule type="expression" dxfId="54" priority="29" stopIfTrue="1">
      <formula>$F$21="Fin"</formula>
    </cfRule>
  </conditionalFormatting>
  <conditionalFormatting sqref="B55">
    <cfRule type="expression" dxfId="53" priority="27" stopIfTrue="1">
      <formula>$F$21="Fin"</formula>
    </cfRule>
    <cfRule type="expression" dxfId="52" priority="28" stopIfTrue="1">
      <formula>$F$21="1B"</formula>
    </cfRule>
  </conditionalFormatting>
  <conditionalFormatting sqref="B56">
    <cfRule type="expression" dxfId="51" priority="25" stopIfTrue="1">
      <formula>$F$21="Fin"</formula>
    </cfRule>
    <cfRule type="expression" dxfId="50" priority="26" stopIfTrue="1">
      <formula>$F$21="1B"</formula>
    </cfRule>
  </conditionalFormatting>
  <conditionalFormatting sqref="B58">
    <cfRule type="expression" dxfId="49" priority="23" stopIfTrue="1">
      <formula>$F$21="Fin"</formula>
    </cfRule>
    <cfRule type="expression" dxfId="48" priority="24" stopIfTrue="1">
      <formula>$F$21="1B"</formula>
    </cfRule>
  </conditionalFormatting>
  <conditionalFormatting sqref="B61">
    <cfRule type="expression" dxfId="47" priority="21" stopIfTrue="1">
      <formula>$F$21="Fin"</formula>
    </cfRule>
    <cfRule type="expression" dxfId="46" priority="22" stopIfTrue="1">
      <formula>$F$21="1B"</formula>
    </cfRule>
  </conditionalFormatting>
  <conditionalFormatting sqref="B54:C54">
    <cfRule type="expression" dxfId="45" priority="18" stopIfTrue="1">
      <formula>$F$21="Fin"</formula>
    </cfRule>
  </conditionalFormatting>
  <conditionalFormatting sqref="B59">
    <cfRule type="expression" dxfId="44" priority="16" stopIfTrue="1">
      <formula>$F$21="Fin"</formula>
    </cfRule>
    <cfRule type="expression" dxfId="43" priority="17" stopIfTrue="1">
      <formula>$F$21="1B"</formula>
    </cfRule>
  </conditionalFormatting>
  <conditionalFormatting sqref="B62">
    <cfRule type="expression" dxfId="42" priority="14" stopIfTrue="1">
      <formula>$F$21="Fin"</formula>
    </cfRule>
    <cfRule type="expression" dxfId="41" priority="15" stopIfTrue="1">
      <formula>$F$21="1B"</formula>
    </cfRule>
  </conditionalFormatting>
  <conditionalFormatting sqref="B50">
    <cfRule type="expression" dxfId="40" priority="9" stopIfTrue="1">
      <formula>$C$23="Non applicable"</formula>
    </cfRule>
  </conditionalFormatting>
  <conditionalFormatting sqref="B34">
    <cfRule type="expression" dxfId="39" priority="7" stopIfTrue="1">
      <formula>$F$21="Fin"</formula>
    </cfRule>
    <cfRule type="expression" dxfId="38" priority="8" stopIfTrue="1">
      <formula>$F$21="1C"</formula>
    </cfRule>
  </conditionalFormatting>
  <conditionalFormatting sqref="B30">
    <cfRule type="expression" dxfId="37" priority="5" stopIfTrue="1">
      <formula>$F$21="Fin"</formula>
    </cfRule>
    <cfRule type="expression" dxfId="36" priority="6" stopIfTrue="1">
      <formula>$F$21="1C"</formula>
    </cfRule>
  </conditionalFormatting>
  <conditionalFormatting sqref="B43">
    <cfRule type="expression" dxfId="35" priority="3" stopIfTrue="1">
      <formula>$F$21="Fin"</formula>
    </cfRule>
    <cfRule type="expression" dxfId="34" priority="4" stopIfTrue="1">
      <formula>$F$21="1C"</formula>
    </cfRule>
  </conditionalFormatting>
  <conditionalFormatting sqref="B49">
    <cfRule type="expression" dxfId="33" priority="1" stopIfTrue="1">
      <formula>$F$21="Fin"</formula>
    </cfRule>
    <cfRule type="expression" dxfId="32" priority="2" stopIfTrue="1">
      <formula>$F$21="1C"</formula>
    </cfRule>
  </conditionalFormatting>
  <dataValidations count="4">
    <dataValidation type="list" allowBlank="1" showInputMessage="1" showErrorMessage="1" sqref="C8 C11">
      <formula1>PAYS</formula1>
    </dataValidation>
    <dataValidation type="list" allowBlank="1" showInputMessage="1" showErrorMessage="1" sqref="C14">
      <formula1>Systeme_verification</formula1>
    </dataValidation>
    <dataValidation type="list" allowBlank="1" showInputMessage="1" showErrorMessage="1" sqref="C32 C55 C28 C42 C45 C39 C36 C61">
      <formula1>Liste_oui_non_NSP</formula1>
    </dataValidation>
    <dataValidation type="list" allowBlank="1" showInputMessage="1" showErrorMessage="1" sqref="C58">
      <formula1>Niveau_risques</formula1>
    </dataValidation>
  </dataValidations>
  <hyperlinks>
    <hyperlink ref="B43" r:id="rId1"/>
    <hyperlink ref="B34" r:id="rId2"/>
    <hyperlink ref="B30" r:id="rId3"/>
    <hyperlink ref="B49" r:id="rId4"/>
  </hyperlinks>
  <pageMargins left="0.25" right="0.25" top="0.75" bottom="0.75" header="0.3" footer="0.3"/>
  <pageSetup paperSize="9" fitToHeight="2" orientation="portrait" r:id="rId5"/>
  <headerFooter>
    <oddHeader>&amp;CGrille d'évaluation de la durabilité de produits bois énergie d'importation</oddHeader>
    <oddFooter>&amp;L&amp;8ADEME Pays de la Loire&amp;C&amp;8BLEZAT CONSULTING &amp; AGENCE MTDA&amp;R&amp;8&amp;D / &amp;T</oddFooter>
  </headerFooter>
  <rowBreaks count="2" manualBreakCount="2">
    <brk id="24" max="2" man="1"/>
    <brk id="51" max="2" man="1"/>
  </rowBreak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4"/>
  <sheetViews>
    <sheetView showGridLines="0" zoomScaleNormal="100" zoomScaleSheetLayoutView="115" workbookViewId="0">
      <selection activeCell="C7" sqref="C7"/>
    </sheetView>
  </sheetViews>
  <sheetFormatPr baseColWidth="10" defaultRowHeight="15" x14ac:dyDescent="0.25"/>
  <cols>
    <col min="1" max="1" width="2.85546875" style="25" bestFit="1" customWidth="1"/>
    <col min="2" max="2" width="66.28515625" style="25" customWidth="1"/>
    <col min="3" max="3" width="29.42578125" style="1" customWidth="1"/>
    <col min="4" max="4" width="2.5703125" style="25" customWidth="1"/>
    <col min="5" max="5" width="19.7109375" style="57" hidden="1" customWidth="1"/>
    <col min="6" max="6" width="6.42578125" style="50" hidden="1" customWidth="1"/>
    <col min="7" max="7" width="11.42578125" style="29" customWidth="1"/>
    <col min="8" max="8" width="11.42578125" style="78"/>
    <col min="9" max="13" width="11.42578125" style="29"/>
    <col min="14" max="15" width="11.42578125" style="29" hidden="1" customWidth="1"/>
    <col min="16" max="16384" width="11.42578125" style="29"/>
  </cols>
  <sheetData>
    <row r="1" spans="1:15" s="191" customFormat="1" ht="24" thickBot="1" x14ac:dyDescent="0.4">
      <c r="A1" s="478" t="s">
        <v>18</v>
      </c>
      <c r="B1" s="478"/>
      <c r="C1" s="342" t="str">
        <f>IF((F5+F13)&gt;1,"Risque faible","Risque fort")</f>
        <v>Risque fort</v>
      </c>
      <c r="D1" s="201"/>
    </row>
    <row r="2" spans="1:15" s="216" customFormat="1" ht="97.5" customHeight="1" x14ac:dyDescent="0.25">
      <c r="A2" s="480" t="s">
        <v>532</v>
      </c>
      <c r="B2" s="480"/>
      <c r="C2" s="480"/>
      <c r="D2" s="255"/>
      <c r="H2" s="490" t="s">
        <v>556</v>
      </c>
      <c r="I2" s="479"/>
      <c r="J2" s="479"/>
      <c r="K2" s="479"/>
      <c r="L2" s="479"/>
    </row>
    <row r="3" spans="1:15" x14ac:dyDescent="0.25">
      <c r="D3" s="36"/>
      <c r="E3" s="56"/>
      <c r="F3" s="81"/>
      <c r="H3" s="479"/>
      <c r="I3" s="479"/>
      <c r="J3" s="479"/>
      <c r="K3" s="479"/>
      <c r="L3" s="479"/>
    </row>
    <row r="4" spans="1:15" x14ac:dyDescent="0.25">
      <c r="D4" s="36"/>
      <c r="E4" s="56"/>
      <c r="F4" s="81"/>
      <c r="H4" s="479"/>
      <c r="I4" s="479"/>
      <c r="J4" s="479"/>
      <c r="K4" s="479"/>
      <c r="L4" s="479"/>
    </row>
    <row r="5" spans="1:15" s="259" customFormat="1" ht="18" x14ac:dyDescent="0.25">
      <c r="A5" s="171" t="s">
        <v>493</v>
      </c>
      <c r="B5" s="269" t="s">
        <v>534</v>
      </c>
      <c r="C5" s="438" t="str">
        <f>IF(F5=1,"Risque faible","Risque fort")</f>
        <v>Risque fort</v>
      </c>
      <c r="D5" s="271"/>
      <c r="E5" s="271"/>
      <c r="F5" s="271">
        <f>IF(SUM(F7:F10)&gt;1,1,0)</f>
        <v>0</v>
      </c>
      <c r="G5" s="272"/>
      <c r="H5" s="479"/>
      <c r="I5" s="479"/>
      <c r="J5" s="479"/>
      <c r="K5" s="479"/>
      <c r="L5" s="479"/>
    </row>
    <row r="6" spans="1:15" ht="15.75" thickBot="1" x14ac:dyDescent="0.3">
      <c r="C6" s="58"/>
      <c r="D6" s="26"/>
      <c r="E6" s="76"/>
      <c r="F6" s="82"/>
      <c r="G6" s="35"/>
      <c r="H6" s="479"/>
      <c r="I6" s="479"/>
      <c r="J6" s="479"/>
      <c r="K6" s="479"/>
      <c r="L6" s="479"/>
    </row>
    <row r="7" spans="1:15" ht="24.75" thickBot="1" x14ac:dyDescent="0.3">
      <c r="B7" s="341" t="s">
        <v>535</v>
      </c>
      <c r="C7" s="258" t="s">
        <v>311</v>
      </c>
      <c r="E7" s="29"/>
      <c r="F7" s="50">
        <f>IF(C7="Oui",1,IF(C7="Non",2,0))</f>
        <v>0</v>
      </c>
      <c r="H7" s="479"/>
      <c r="I7" s="479"/>
      <c r="J7" s="479"/>
      <c r="K7" s="479"/>
      <c r="L7" s="479"/>
      <c r="N7" s="60" t="s">
        <v>422</v>
      </c>
      <c r="O7" s="75"/>
    </row>
    <row r="8" spans="1:15" ht="51" x14ac:dyDescent="0.25">
      <c r="B8" s="458" t="s">
        <v>552</v>
      </c>
      <c r="D8" s="36"/>
      <c r="E8" s="56"/>
      <c r="F8" s="81"/>
      <c r="H8" s="479"/>
      <c r="I8" s="479"/>
      <c r="J8" s="479"/>
      <c r="K8" s="479"/>
      <c r="L8" s="479"/>
    </row>
    <row r="9" spans="1:15" ht="15.75" thickBot="1" x14ac:dyDescent="0.3">
      <c r="B9" s="37"/>
      <c r="C9" s="39"/>
      <c r="D9" s="36"/>
      <c r="E9" s="56"/>
      <c r="H9" s="479"/>
      <c r="I9" s="479"/>
      <c r="J9" s="479"/>
      <c r="K9" s="479"/>
      <c r="L9" s="479"/>
    </row>
    <row r="10" spans="1:15" s="30" customFormat="1" ht="24.75" thickBot="1" x14ac:dyDescent="0.3">
      <c r="A10" s="24"/>
      <c r="B10" s="341" t="s">
        <v>536</v>
      </c>
      <c r="C10" s="258" t="s">
        <v>311</v>
      </c>
      <c r="D10" s="36"/>
      <c r="E10" s="56"/>
      <c r="F10" s="50">
        <f>IF(C10="Oui",1,IF(C10="Non",0,0))</f>
        <v>0</v>
      </c>
      <c r="H10" s="479"/>
      <c r="I10" s="479"/>
      <c r="J10" s="479"/>
      <c r="K10" s="479"/>
      <c r="L10" s="479"/>
    </row>
    <row r="11" spans="1:15" s="55" customFormat="1" ht="38.25" x14ac:dyDescent="0.25">
      <c r="A11" s="52"/>
      <c r="B11" s="458" t="s">
        <v>553</v>
      </c>
      <c r="C11" s="39"/>
      <c r="D11" s="53"/>
      <c r="E11" s="77"/>
      <c r="F11" s="54"/>
      <c r="H11" s="479"/>
      <c r="I11" s="479"/>
      <c r="J11" s="479"/>
      <c r="K11" s="479"/>
      <c r="L11" s="479"/>
    </row>
    <row r="12" spans="1:15" x14ac:dyDescent="0.25">
      <c r="D12" s="36"/>
      <c r="E12" s="56"/>
      <c r="F12" s="81"/>
      <c r="H12" s="435"/>
      <c r="I12" s="435"/>
      <c r="J12" s="435"/>
      <c r="K12" s="435"/>
      <c r="L12" s="435"/>
    </row>
    <row r="13" spans="1:15" s="259" customFormat="1" ht="18" x14ac:dyDescent="0.25">
      <c r="A13" s="171" t="s">
        <v>493</v>
      </c>
      <c r="B13" s="269" t="s">
        <v>537</v>
      </c>
      <c r="C13" s="438" t="str">
        <f>IF(F13=1,"Risque faible","Risque fort")</f>
        <v>Risque faible</v>
      </c>
      <c r="D13" s="271"/>
      <c r="E13" s="271"/>
      <c r="F13" s="271">
        <f>IF(SUM(F15:F18)&gt;1,1,0)</f>
        <v>1</v>
      </c>
      <c r="G13" s="272"/>
      <c r="H13" s="435"/>
      <c r="I13" s="435"/>
      <c r="J13" s="435"/>
      <c r="K13" s="435"/>
      <c r="L13" s="435"/>
    </row>
    <row r="14" spans="1:15" ht="15.75" thickBot="1" x14ac:dyDescent="0.3">
      <c r="C14" s="58"/>
      <c r="D14" s="26"/>
      <c r="E14" s="76"/>
      <c r="F14" s="82"/>
    </row>
    <row r="15" spans="1:15" s="30" customFormat="1" ht="15.75" thickBot="1" x14ac:dyDescent="0.3">
      <c r="A15" s="25"/>
      <c r="B15" s="341" t="s">
        <v>538</v>
      </c>
      <c r="C15" s="258" t="s">
        <v>28</v>
      </c>
      <c r="D15" s="25"/>
      <c r="E15" s="29"/>
      <c r="F15" s="50">
        <f>IF(C15="Oui",1,IF(C15="Non",2,0))</f>
        <v>2</v>
      </c>
      <c r="H15" s="79"/>
    </row>
    <row r="16" spans="1:15" s="55" customFormat="1" ht="51" x14ac:dyDescent="0.25">
      <c r="A16" s="52"/>
      <c r="B16" s="458" t="s">
        <v>554</v>
      </c>
      <c r="C16" s="39"/>
      <c r="D16" s="53"/>
      <c r="E16" s="77"/>
      <c r="F16" s="54"/>
      <c r="H16" s="79"/>
      <c r="I16" s="30"/>
      <c r="J16" s="30"/>
      <c r="K16" s="30"/>
      <c r="L16" s="30"/>
    </row>
    <row r="17" spans="1:10" s="49" customFormat="1" ht="15.75" thickBot="1" x14ac:dyDescent="0.3">
      <c r="A17" s="25"/>
      <c r="B17" s="37"/>
      <c r="C17" s="39"/>
      <c r="D17" s="36"/>
      <c r="E17" s="56"/>
      <c r="F17" s="50"/>
      <c r="H17" s="80"/>
    </row>
    <row r="18" spans="1:10" ht="15.75" thickBot="1" x14ac:dyDescent="0.3">
      <c r="A18" s="24"/>
      <c r="B18" s="341" t="s">
        <v>539</v>
      </c>
      <c r="C18" s="258" t="s">
        <v>311</v>
      </c>
      <c r="D18" s="36"/>
      <c r="E18" s="56"/>
      <c r="F18" s="50">
        <f>IF(C18="Oui",0,IF(C18="Non",1,0))</f>
        <v>0</v>
      </c>
    </row>
    <row r="19" spans="1:10" ht="38.25" x14ac:dyDescent="0.25">
      <c r="A19" s="52"/>
      <c r="B19" s="458" t="s">
        <v>555</v>
      </c>
      <c r="C19" s="39"/>
      <c r="D19" s="53"/>
      <c r="E19" s="77"/>
      <c r="F19" s="54"/>
    </row>
    <row r="20" spans="1:10" x14ac:dyDescent="0.25">
      <c r="D20" s="36"/>
      <c r="E20" s="56"/>
    </row>
    <row r="21" spans="1:10" s="259" customFormat="1" ht="18" x14ac:dyDescent="0.25">
      <c r="A21" s="171" t="s">
        <v>493</v>
      </c>
      <c r="B21" s="269" t="s">
        <v>478</v>
      </c>
      <c r="C21" s="270" t="str">
        <f>CONCATENATE(C44," ",D44," ",E44)</f>
        <v xml:space="preserve">  </v>
      </c>
      <c r="D21" s="271"/>
      <c r="E21" s="271"/>
      <c r="F21" s="271"/>
      <c r="G21" s="272"/>
      <c r="H21" s="434"/>
    </row>
    <row r="22" spans="1:10" x14ac:dyDescent="0.25">
      <c r="C22" s="31"/>
      <c r="E22" s="25"/>
      <c r="F22" s="25"/>
      <c r="G22" s="25"/>
      <c r="H22" s="25"/>
      <c r="J22" s="44"/>
    </row>
    <row r="23" spans="1:10" ht="15" customHeight="1" x14ac:dyDescent="0.25">
      <c r="B23" s="471" t="s">
        <v>508</v>
      </c>
      <c r="C23" s="472"/>
      <c r="D23" s="118"/>
      <c r="E23" s="118"/>
      <c r="F23" s="118"/>
      <c r="G23" s="118"/>
      <c r="H23" s="25"/>
      <c r="J23" s="44"/>
    </row>
    <row r="24" spans="1:10" x14ac:dyDescent="0.25">
      <c r="B24" s="473"/>
      <c r="C24" s="474"/>
      <c r="D24" s="118"/>
      <c r="E24" s="118"/>
      <c r="F24" s="118"/>
      <c r="G24" s="118"/>
      <c r="H24" s="25"/>
      <c r="J24" s="44"/>
    </row>
    <row r="25" spans="1:10" x14ac:dyDescent="0.25">
      <c r="B25" s="473"/>
      <c r="C25" s="474"/>
      <c r="D25" s="118"/>
      <c r="E25" s="118"/>
      <c r="F25" s="118"/>
      <c r="G25" s="118"/>
      <c r="H25" s="25"/>
      <c r="J25" s="44"/>
    </row>
    <row r="26" spans="1:10" x14ac:dyDescent="0.25">
      <c r="B26" s="473"/>
      <c r="C26" s="474"/>
      <c r="D26" s="118"/>
      <c r="E26" s="118"/>
      <c r="F26" s="118"/>
      <c r="G26" s="118"/>
      <c r="H26" s="25"/>
      <c r="J26" s="44"/>
    </row>
    <row r="27" spans="1:10" x14ac:dyDescent="0.25">
      <c r="B27" s="473"/>
      <c r="C27" s="474"/>
      <c r="D27" s="118"/>
      <c r="E27" s="118"/>
      <c r="F27" s="118"/>
      <c r="G27" s="118"/>
      <c r="H27" s="25"/>
      <c r="J27" s="44"/>
    </row>
    <row r="28" spans="1:10" x14ac:dyDescent="0.25">
      <c r="B28" s="473"/>
      <c r="C28" s="474"/>
      <c r="D28" s="118"/>
      <c r="E28" s="118"/>
      <c r="F28" s="118"/>
      <c r="G28" s="118"/>
      <c r="H28" s="25"/>
      <c r="J28" s="44"/>
    </row>
    <row r="29" spans="1:10" x14ac:dyDescent="0.25">
      <c r="B29" s="473"/>
      <c r="C29" s="474"/>
      <c r="D29" s="118"/>
      <c r="E29" s="118"/>
      <c r="F29" s="118"/>
      <c r="G29" s="118"/>
      <c r="H29" s="25"/>
      <c r="J29" s="44"/>
    </row>
    <row r="30" spans="1:10" x14ac:dyDescent="0.25">
      <c r="B30" s="473"/>
      <c r="C30" s="474"/>
      <c r="D30" s="118"/>
      <c r="E30" s="118"/>
      <c r="F30" s="118"/>
      <c r="G30" s="118"/>
      <c r="H30" s="25"/>
      <c r="J30" s="44"/>
    </row>
    <row r="31" spans="1:10" x14ac:dyDescent="0.25">
      <c r="B31" s="473"/>
      <c r="C31" s="474"/>
      <c r="D31" s="118"/>
      <c r="E31" s="118"/>
      <c r="F31" s="118"/>
      <c r="G31" s="118"/>
      <c r="H31" s="25"/>
      <c r="J31" s="44"/>
    </row>
    <row r="32" spans="1:10" x14ac:dyDescent="0.25">
      <c r="B32" s="473"/>
      <c r="C32" s="474"/>
      <c r="D32" s="118"/>
      <c r="E32" s="118"/>
      <c r="F32" s="118"/>
      <c r="G32" s="118"/>
      <c r="H32" s="25"/>
      <c r="J32" s="44"/>
    </row>
    <row r="33" spans="2:10" x14ac:dyDescent="0.25">
      <c r="B33" s="473"/>
      <c r="C33" s="474"/>
      <c r="D33" s="118"/>
      <c r="E33" s="118"/>
      <c r="F33" s="118"/>
      <c r="G33" s="118"/>
      <c r="H33" s="25"/>
      <c r="J33" s="44"/>
    </row>
    <row r="34" spans="2:10" x14ac:dyDescent="0.25">
      <c r="B34" s="473"/>
      <c r="C34" s="474"/>
      <c r="D34" s="118"/>
      <c r="E34" s="118"/>
      <c r="F34" s="118"/>
      <c r="G34" s="118"/>
      <c r="H34" s="25"/>
      <c r="J34" s="44"/>
    </row>
    <row r="35" spans="2:10" x14ac:dyDescent="0.25">
      <c r="B35" s="473"/>
      <c r="C35" s="474"/>
      <c r="D35" s="118"/>
      <c r="E35" s="118"/>
      <c r="F35" s="118"/>
      <c r="G35" s="118"/>
      <c r="H35" s="25"/>
      <c r="J35" s="44"/>
    </row>
    <row r="36" spans="2:10" x14ac:dyDescent="0.25">
      <c r="B36" s="473"/>
      <c r="C36" s="474"/>
      <c r="D36" s="118"/>
      <c r="E36" s="118"/>
      <c r="F36" s="118"/>
      <c r="G36" s="118"/>
      <c r="H36" s="25"/>
      <c r="J36" s="44"/>
    </row>
    <row r="37" spans="2:10" x14ac:dyDescent="0.25">
      <c r="B37" s="475"/>
      <c r="C37" s="476"/>
      <c r="D37" s="118"/>
      <c r="E37" s="118"/>
      <c r="F37" s="118"/>
      <c r="G37" s="118"/>
      <c r="H37" s="25"/>
      <c r="J37" s="44"/>
    </row>
    <row r="38" spans="2:10" x14ac:dyDescent="0.25">
      <c r="C38" s="31"/>
      <c r="E38" s="25"/>
      <c r="F38" s="25"/>
      <c r="G38" s="25"/>
      <c r="H38" s="25"/>
      <c r="J38" s="44"/>
    </row>
    <row r="39" spans="2:10" x14ac:dyDescent="0.25">
      <c r="C39" s="25"/>
      <c r="D39" s="36"/>
      <c r="E39" s="56"/>
    </row>
    <row r="40" spans="2:10" x14ac:dyDescent="0.25">
      <c r="D40" s="36"/>
      <c r="E40" s="56"/>
    </row>
    <row r="41" spans="2:10" x14ac:dyDescent="0.25">
      <c r="D41" s="36"/>
      <c r="E41" s="56"/>
    </row>
    <row r="42" spans="2:10" x14ac:dyDescent="0.25">
      <c r="D42" s="36"/>
      <c r="E42" s="56"/>
    </row>
    <row r="43" spans="2:10" x14ac:dyDescent="0.25">
      <c r="D43" s="36"/>
      <c r="E43" s="56"/>
    </row>
    <row r="44" spans="2:10" x14ac:dyDescent="0.25">
      <c r="D44" s="36"/>
      <c r="E44" s="56"/>
    </row>
    <row r="45" spans="2:10" x14ac:dyDescent="0.25">
      <c r="D45" s="36"/>
      <c r="E45" s="56"/>
    </row>
    <row r="46" spans="2:10" x14ac:dyDescent="0.25">
      <c r="D46" s="36"/>
      <c r="E46" s="56"/>
    </row>
    <row r="47" spans="2:10" x14ac:dyDescent="0.25">
      <c r="D47" s="36"/>
      <c r="E47" s="56"/>
    </row>
    <row r="48" spans="2:10" x14ac:dyDescent="0.25">
      <c r="D48" s="36"/>
      <c r="E48" s="56"/>
    </row>
    <row r="49" spans="1:15" x14ac:dyDescent="0.25">
      <c r="D49" s="36"/>
      <c r="E49" s="56"/>
    </row>
    <row r="50" spans="1:15" x14ac:dyDescent="0.25">
      <c r="D50" s="36"/>
      <c r="E50" s="56"/>
    </row>
    <row r="51" spans="1:15" x14ac:dyDescent="0.25">
      <c r="D51" s="36"/>
      <c r="E51" s="56"/>
    </row>
    <row r="52" spans="1:15" s="50" customFormat="1" x14ac:dyDescent="0.25">
      <c r="A52" s="25"/>
      <c r="B52" s="25"/>
      <c r="C52" s="1"/>
      <c r="D52" s="36"/>
      <c r="E52" s="56"/>
      <c r="G52" s="29"/>
      <c r="H52" s="78"/>
      <c r="I52" s="29"/>
      <c r="J52" s="29"/>
      <c r="K52" s="29"/>
      <c r="L52" s="29"/>
      <c r="M52" s="29"/>
      <c r="N52" s="29"/>
      <c r="O52" s="29"/>
    </row>
    <row r="53" spans="1:15" s="50" customFormat="1" x14ac:dyDescent="0.25">
      <c r="A53" s="25"/>
      <c r="B53" s="25"/>
      <c r="C53" s="1"/>
      <c r="D53" s="36"/>
      <c r="E53" s="56"/>
      <c r="G53" s="29"/>
      <c r="H53" s="78"/>
      <c r="I53" s="29"/>
      <c r="J53" s="29"/>
      <c r="K53" s="29"/>
      <c r="L53" s="29"/>
      <c r="M53" s="29"/>
      <c r="N53" s="29"/>
      <c r="O53" s="29"/>
    </row>
    <row r="54" spans="1:15" s="50" customFormat="1" x14ac:dyDescent="0.25">
      <c r="A54" s="25"/>
      <c r="B54" s="25"/>
      <c r="C54" s="1"/>
      <c r="D54" s="36"/>
      <c r="E54" s="56"/>
      <c r="G54" s="29"/>
      <c r="H54" s="78"/>
      <c r="I54" s="29"/>
      <c r="J54" s="29"/>
      <c r="K54" s="29"/>
      <c r="L54" s="29"/>
      <c r="M54" s="29"/>
      <c r="N54" s="29"/>
      <c r="O54" s="29"/>
    </row>
    <row r="55" spans="1:15" s="50" customFormat="1" x14ac:dyDescent="0.25">
      <c r="A55" s="25"/>
      <c r="B55" s="25"/>
      <c r="C55" s="1"/>
      <c r="D55" s="36"/>
      <c r="E55" s="56"/>
      <c r="G55" s="29"/>
      <c r="H55" s="78"/>
      <c r="I55" s="29"/>
      <c r="J55" s="29"/>
      <c r="K55" s="29"/>
      <c r="L55" s="29"/>
      <c r="M55" s="29"/>
      <c r="N55" s="29"/>
      <c r="O55" s="29"/>
    </row>
    <row r="56" spans="1:15" s="50" customFormat="1" x14ac:dyDescent="0.25">
      <c r="A56" s="25"/>
      <c r="B56" s="25"/>
      <c r="C56" s="1"/>
      <c r="D56" s="36"/>
      <c r="E56" s="56"/>
      <c r="G56" s="29"/>
      <c r="H56" s="78"/>
      <c r="I56" s="29"/>
      <c r="J56" s="29"/>
      <c r="K56" s="29"/>
      <c r="L56" s="29"/>
      <c r="M56" s="29"/>
      <c r="N56" s="29"/>
      <c r="O56" s="29"/>
    </row>
    <row r="57" spans="1:15" s="50" customFormat="1" x14ac:dyDescent="0.25">
      <c r="A57" s="25"/>
      <c r="B57" s="25"/>
      <c r="C57" s="1"/>
      <c r="D57" s="36"/>
      <c r="E57" s="56"/>
      <c r="G57" s="29"/>
      <c r="H57" s="78"/>
      <c r="I57" s="29"/>
      <c r="J57" s="29"/>
      <c r="K57" s="29"/>
      <c r="L57" s="29"/>
      <c r="M57" s="29"/>
      <c r="N57" s="29"/>
      <c r="O57" s="29"/>
    </row>
    <row r="58" spans="1:15" s="50" customFormat="1" x14ac:dyDescent="0.25">
      <c r="A58" s="25"/>
      <c r="B58" s="25"/>
      <c r="C58" s="1"/>
      <c r="D58" s="36"/>
      <c r="E58" s="56"/>
      <c r="G58" s="29"/>
      <c r="H58" s="78"/>
      <c r="I58" s="29"/>
      <c r="J58" s="29"/>
      <c r="K58" s="29"/>
      <c r="L58" s="29"/>
      <c r="M58" s="29"/>
      <c r="N58" s="29"/>
      <c r="O58" s="29"/>
    </row>
    <row r="59" spans="1:15" s="50" customFormat="1" x14ac:dyDescent="0.25">
      <c r="A59" s="25"/>
      <c r="B59" s="25"/>
      <c r="C59" s="1"/>
      <c r="D59" s="36"/>
      <c r="E59" s="56"/>
      <c r="G59" s="29"/>
      <c r="H59" s="78"/>
      <c r="I59" s="29"/>
      <c r="J59" s="29"/>
      <c r="K59" s="29"/>
      <c r="L59" s="29"/>
      <c r="M59" s="29"/>
      <c r="N59" s="29"/>
      <c r="O59" s="29"/>
    </row>
    <row r="60" spans="1:15" s="50" customFormat="1" x14ac:dyDescent="0.25">
      <c r="A60" s="25"/>
      <c r="B60" s="25"/>
      <c r="C60" s="1"/>
      <c r="D60" s="36"/>
      <c r="E60" s="56"/>
      <c r="G60" s="29"/>
      <c r="H60" s="78"/>
      <c r="I60" s="29"/>
      <c r="J60" s="29"/>
      <c r="K60" s="29"/>
      <c r="L60" s="29"/>
      <c r="M60" s="29"/>
      <c r="N60" s="29"/>
      <c r="O60" s="29"/>
    </row>
    <row r="61" spans="1:15" s="50" customFormat="1" x14ac:dyDescent="0.25">
      <c r="A61" s="25"/>
      <c r="B61" s="25"/>
      <c r="C61" s="1"/>
      <c r="D61" s="36"/>
      <c r="E61" s="56"/>
      <c r="G61" s="29"/>
      <c r="H61" s="78"/>
      <c r="I61" s="29"/>
      <c r="J61" s="29"/>
      <c r="K61" s="29"/>
      <c r="L61" s="29"/>
      <c r="M61" s="29"/>
      <c r="N61" s="29"/>
      <c r="O61" s="29"/>
    </row>
    <row r="62" spans="1:15" s="50" customFormat="1" x14ac:dyDescent="0.25">
      <c r="A62" s="25"/>
      <c r="B62" s="25"/>
      <c r="C62" s="1"/>
      <c r="D62" s="36"/>
      <c r="E62" s="56"/>
      <c r="G62" s="29"/>
      <c r="H62" s="78"/>
      <c r="I62" s="29"/>
      <c r="J62" s="29"/>
      <c r="K62" s="29"/>
      <c r="L62" s="29"/>
      <c r="M62" s="29"/>
      <c r="N62" s="29"/>
      <c r="O62" s="29"/>
    </row>
    <row r="63" spans="1:15" s="50" customFormat="1" x14ac:dyDescent="0.25">
      <c r="A63" s="25"/>
      <c r="B63" s="25"/>
      <c r="C63" s="1"/>
      <c r="D63" s="36"/>
      <c r="E63" s="56"/>
      <c r="G63" s="29"/>
      <c r="H63" s="78"/>
      <c r="I63" s="29"/>
      <c r="J63" s="29"/>
      <c r="K63" s="29"/>
      <c r="L63" s="29"/>
      <c r="M63" s="29"/>
      <c r="N63" s="29"/>
      <c r="O63" s="29"/>
    </row>
    <row r="64" spans="1:15" s="50" customFormat="1" x14ac:dyDescent="0.25">
      <c r="A64" s="25"/>
      <c r="B64" s="25"/>
      <c r="C64" s="1"/>
      <c r="D64" s="36"/>
      <c r="E64" s="56"/>
      <c r="G64" s="29"/>
      <c r="H64" s="78"/>
      <c r="I64" s="29"/>
      <c r="J64" s="29"/>
      <c r="K64" s="29"/>
      <c r="L64" s="29"/>
      <c r="M64" s="29"/>
      <c r="N64" s="29"/>
      <c r="O64" s="29"/>
    </row>
    <row r="65" spans="1:15" s="50" customFormat="1" x14ac:dyDescent="0.25">
      <c r="A65" s="25"/>
      <c r="B65" s="25"/>
      <c r="C65" s="1"/>
      <c r="D65" s="36"/>
      <c r="E65" s="56"/>
      <c r="G65" s="29"/>
      <c r="H65" s="78"/>
      <c r="I65" s="29"/>
      <c r="J65" s="29"/>
      <c r="K65" s="29"/>
      <c r="L65" s="29"/>
      <c r="M65" s="29"/>
      <c r="N65" s="29"/>
      <c r="O65" s="29"/>
    </row>
    <row r="66" spans="1:15" s="50" customFormat="1" x14ac:dyDescent="0.25">
      <c r="A66" s="25"/>
      <c r="B66" s="25"/>
      <c r="C66" s="1"/>
      <c r="D66" s="36"/>
      <c r="E66" s="56"/>
      <c r="G66" s="29"/>
      <c r="H66" s="78"/>
      <c r="I66" s="29"/>
      <c r="J66" s="29"/>
      <c r="K66" s="29"/>
      <c r="L66" s="29"/>
      <c r="M66" s="29"/>
      <c r="N66" s="29"/>
      <c r="O66" s="29"/>
    </row>
    <row r="67" spans="1:15" s="50" customFormat="1" x14ac:dyDescent="0.25">
      <c r="A67" s="25"/>
      <c r="B67" s="25"/>
      <c r="C67" s="1"/>
      <c r="D67" s="36"/>
      <c r="E67" s="56"/>
      <c r="G67" s="29"/>
      <c r="H67" s="78"/>
      <c r="I67" s="29"/>
      <c r="J67" s="29"/>
      <c r="K67" s="29"/>
      <c r="L67" s="29"/>
      <c r="M67" s="29"/>
      <c r="N67" s="29"/>
      <c r="O67" s="29"/>
    </row>
    <row r="68" spans="1:15" s="50" customFormat="1" x14ac:dyDescent="0.25">
      <c r="A68" s="25"/>
      <c r="B68" s="25"/>
      <c r="C68" s="1"/>
      <c r="D68" s="36"/>
      <c r="E68" s="56"/>
      <c r="G68" s="29"/>
      <c r="H68" s="78"/>
      <c r="I68" s="29"/>
      <c r="J68" s="29"/>
      <c r="K68" s="29"/>
      <c r="L68" s="29"/>
      <c r="M68" s="29"/>
      <c r="N68" s="29"/>
      <c r="O68" s="29"/>
    </row>
    <row r="69" spans="1:15" s="50" customFormat="1" x14ac:dyDescent="0.25">
      <c r="A69" s="25"/>
      <c r="B69" s="25"/>
      <c r="C69" s="1"/>
      <c r="D69" s="36"/>
      <c r="E69" s="56"/>
      <c r="G69" s="29"/>
      <c r="H69" s="78"/>
      <c r="I69" s="29"/>
      <c r="J69" s="29"/>
      <c r="K69" s="29"/>
      <c r="L69" s="29"/>
      <c r="M69" s="29"/>
      <c r="N69" s="29"/>
      <c r="O69" s="29"/>
    </row>
    <row r="70" spans="1:15" s="50" customFormat="1" x14ac:dyDescent="0.25">
      <c r="A70" s="25"/>
      <c r="B70" s="25"/>
      <c r="C70" s="1"/>
      <c r="D70" s="36"/>
      <c r="E70" s="56"/>
      <c r="G70" s="29"/>
      <c r="H70" s="78"/>
      <c r="I70" s="29"/>
      <c r="J70" s="29"/>
      <c r="K70" s="29"/>
      <c r="L70" s="29"/>
      <c r="M70" s="29"/>
      <c r="N70" s="29"/>
      <c r="O70" s="29"/>
    </row>
    <row r="71" spans="1:15" s="50" customFormat="1" x14ac:dyDescent="0.25">
      <c r="A71" s="25"/>
      <c r="B71" s="25"/>
      <c r="C71" s="1"/>
      <c r="D71" s="36"/>
      <c r="E71" s="56"/>
      <c r="G71" s="29"/>
      <c r="H71" s="78"/>
      <c r="I71" s="29"/>
      <c r="J71" s="29"/>
      <c r="K71" s="29"/>
      <c r="L71" s="29"/>
      <c r="M71" s="29"/>
      <c r="N71" s="29"/>
      <c r="O71" s="29"/>
    </row>
    <row r="72" spans="1:15" s="50" customFormat="1" x14ac:dyDescent="0.25">
      <c r="A72" s="25"/>
      <c r="B72" s="25"/>
      <c r="C72" s="1"/>
      <c r="D72" s="36"/>
      <c r="E72" s="56"/>
      <c r="G72" s="29"/>
      <c r="H72" s="78"/>
      <c r="I72" s="29"/>
      <c r="J72" s="29"/>
      <c r="K72" s="29"/>
      <c r="L72" s="29"/>
      <c r="M72" s="29"/>
      <c r="N72" s="29"/>
      <c r="O72" s="29"/>
    </row>
    <row r="73" spans="1:15" s="50" customFormat="1" x14ac:dyDescent="0.25">
      <c r="A73" s="25"/>
      <c r="B73" s="25"/>
      <c r="C73" s="1"/>
      <c r="D73" s="36"/>
      <c r="E73" s="56"/>
      <c r="G73" s="29"/>
      <c r="H73" s="78"/>
      <c r="I73" s="29"/>
      <c r="J73" s="29"/>
      <c r="K73" s="29"/>
      <c r="L73" s="29"/>
      <c r="M73" s="29"/>
      <c r="N73" s="29"/>
      <c r="O73" s="29"/>
    </row>
    <row r="74" spans="1:15" s="50" customFormat="1" x14ac:dyDescent="0.25">
      <c r="A74" s="25"/>
      <c r="B74" s="25"/>
      <c r="C74" s="1"/>
      <c r="D74" s="36"/>
      <c r="E74" s="56"/>
      <c r="G74" s="29"/>
      <c r="H74" s="78"/>
      <c r="I74" s="29"/>
      <c r="J74" s="29"/>
      <c r="K74" s="29"/>
      <c r="L74" s="29"/>
      <c r="M74" s="29"/>
      <c r="N74" s="29"/>
      <c r="O74" s="29"/>
    </row>
    <row r="75" spans="1:15" s="50" customFormat="1" x14ac:dyDescent="0.25">
      <c r="A75" s="25"/>
      <c r="B75" s="25"/>
      <c r="C75" s="1"/>
      <c r="D75" s="36"/>
      <c r="E75" s="56"/>
      <c r="G75" s="29"/>
      <c r="H75" s="78"/>
      <c r="I75" s="29"/>
      <c r="J75" s="29"/>
      <c r="K75" s="29"/>
      <c r="L75" s="29"/>
      <c r="M75" s="29"/>
      <c r="N75" s="29"/>
      <c r="O75" s="29"/>
    </row>
    <row r="76" spans="1:15" s="50" customFormat="1" x14ac:dyDescent="0.25">
      <c r="A76" s="25"/>
      <c r="B76" s="25"/>
      <c r="C76" s="1"/>
      <c r="D76" s="36"/>
      <c r="E76" s="56"/>
      <c r="G76" s="29"/>
      <c r="H76" s="78"/>
      <c r="I76" s="29"/>
      <c r="J76" s="29"/>
      <c r="K76" s="29"/>
      <c r="L76" s="29"/>
      <c r="M76" s="29"/>
      <c r="N76" s="29"/>
      <c r="O76" s="29"/>
    </row>
    <row r="77" spans="1:15" s="50" customFormat="1" x14ac:dyDescent="0.25">
      <c r="A77" s="25"/>
      <c r="B77" s="25"/>
      <c r="C77" s="1"/>
      <c r="D77" s="36"/>
      <c r="E77" s="56"/>
      <c r="G77" s="29"/>
      <c r="H77" s="78"/>
      <c r="I77" s="29"/>
      <c r="J77" s="29"/>
      <c r="K77" s="29"/>
      <c r="L77" s="29"/>
      <c r="M77" s="29"/>
      <c r="N77" s="29"/>
      <c r="O77" s="29"/>
    </row>
    <row r="78" spans="1:15" s="50" customFormat="1" x14ac:dyDescent="0.25">
      <c r="A78" s="25"/>
      <c r="B78" s="25"/>
      <c r="C78" s="1"/>
      <c r="D78" s="36"/>
      <c r="E78" s="56"/>
      <c r="G78" s="29"/>
      <c r="H78" s="78"/>
      <c r="I78" s="29"/>
      <c r="J78" s="29"/>
      <c r="K78" s="29"/>
      <c r="L78" s="29"/>
      <c r="M78" s="29"/>
      <c r="N78" s="29"/>
      <c r="O78" s="29"/>
    </row>
    <row r="79" spans="1:15" s="50" customFormat="1" x14ac:dyDescent="0.25">
      <c r="A79" s="25"/>
      <c r="B79" s="25"/>
      <c r="C79" s="1"/>
      <c r="D79" s="36"/>
      <c r="E79" s="56"/>
      <c r="G79" s="29"/>
      <c r="H79" s="78"/>
      <c r="I79" s="29"/>
      <c r="J79" s="29"/>
      <c r="K79" s="29"/>
      <c r="L79" s="29"/>
      <c r="M79" s="29"/>
      <c r="N79" s="29"/>
      <c r="O79" s="29"/>
    </row>
    <row r="80" spans="1:15" s="50" customFormat="1" x14ac:dyDescent="0.25">
      <c r="A80" s="25"/>
      <c r="B80" s="25"/>
      <c r="C80" s="1"/>
      <c r="D80" s="36"/>
      <c r="E80" s="56"/>
      <c r="G80" s="29"/>
      <c r="H80" s="78"/>
      <c r="I80" s="29"/>
      <c r="J80" s="29"/>
      <c r="K80" s="29"/>
      <c r="L80" s="29"/>
      <c r="M80" s="29"/>
      <c r="N80" s="29"/>
      <c r="O80" s="29"/>
    </row>
    <row r="81" spans="1:15" s="50" customFormat="1" x14ac:dyDescent="0.25">
      <c r="A81" s="25"/>
      <c r="B81" s="25"/>
      <c r="C81" s="1"/>
      <c r="D81" s="36"/>
      <c r="E81" s="56"/>
      <c r="G81" s="29"/>
      <c r="H81" s="78"/>
      <c r="I81" s="29"/>
      <c r="J81" s="29"/>
      <c r="K81" s="29"/>
      <c r="L81" s="29"/>
      <c r="M81" s="29"/>
      <c r="N81" s="29"/>
      <c r="O81" s="29"/>
    </row>
    <row r="82" spans="1:15" s="50" customFormat="1" x14ac:dyDescent="0.25">
      <c r="A82" s="25"/>
      <c r="B82" s="25"/>
      <c r="C82" s="1"/>
      <c r="D82" s="36"/>
      <c r="E82" s="56"/>
      <c r="G82" s="29"/>
      <c r="H82" s="78"/>
      <c r="I82" s="29"/>
      <c r="J82" s="29"/>
      <c r="K82" s="29"/>
      <c r="L82" s="29"/>
      <c r="M82" s="29"/>
      <c r="N82" s="29"/>
      <c r="O82" s="29"/>
    </row>
    <row r="83" spans="1:15" s="50" customFormat="1" x14ac:dyDescent="0.25">
      <c r="A83" s="25"/>
      <c r="B83" s="25"/>
      <c r="C83" s="1"/>
      <c r="D83" s="36"/>
      <c r="E83" s="56"/>
      <c r="G83" s="29"/>
      <c r="H83" s="78"/>
      <c r="I83" s="29"/>
      <c r="J83" s="29"/>
      <c r="K83" s="29"/>
      <c r="L83" s="29"/>
      <c r="M83" s="29"/>
      <c r="N83" s="29"/>
      <c r="O83" s="29"/>
    </row>
    <row r="84" spans="1:15" s="50" customFormat="1" x14ac:dyDescent="0.25">
      <c r="A84" s="25"/>
      <c r="B84" s="25"/>
      <c r="C84" s="1"/>
      <c r="D84" s="25"/>
      <c r="E84" s="56"/>
      <c r="G84" s="29"/>
      <c r="H84" s="78"/>
      <c r="I84" s="29"/>
      <c r="J84" s="29"/>
      <c r="K84" s="29"/>
      <c r="L84" s="29"/>
      <c r="M84" s="29"/>
      <c r="N84" s="29"/>
      <c r="O84" s="29"/>
    </row>
    <row r="85" spans="1:15" s="50" customFormat="1" x14ac:dyDescent="0.25">
      <c r="A85" s="25"/>
      <c r="B85" s="25"/>
      <c r="C85" s="1"/>
      <c r="D85" s="36"/>
      <c r="E85" s="56"/>
      <c r="G85" s="29"/>
      <c r="H85" s="78"/>
      <c r="I85" s="29"/>
      <c r="J85" s="29"/>
      <c r="K85" s="29"/>
      <c r="L85" s="29"/>
      <c r="M85" s="29"/>
      <c r="N85" s="29"/>
      <c r="O85" s="29"/>
    </row>
    <row r="86" spans="1:15" s="50" customFormat="1" x14ac:dyDescent="0.25">
      <c r="A86" s="25"/>
      <c r="B86" s="25"/>
      <c r="C86" s="1"/>
      <c r="D86" s="36"/>
      <c r="E86" s="56"/>
      <c r="G86" s="29"/>
      <c r="H86" s="78"/>
      <c r="I86" s="29"/>
      <c r="J86" s="29"/>
      <c r="K86" s="29"/>
      <c r="L86" s="29"/>
      <c r="M86" s="29"/>
      <c r="N86" s="29"/>
      <c r="O86" s="29"/>
    </row>
    <row r="87" spans="1:15" s="50" customFormat="1" x14ac:dyDescent="0.25">
      <c r="A87" s="25"/>
      <c r="B87" s="25"/>
      <c r="C87" s="1"/>
      <c r="D87" s="36"/>
      <c r="E87" s="56"/>
      <c r="G87" s="29"/>
      <c r="H87" s="78"/>
      <c r="I87" s="29"/>
      <c r="J87" s="29"/>
      <c r="K87" s="29"/>
      <c r="L87" s="29"/>
      <c r="M87" s="29"/>
      <c r="N87" s="29"/>
      <c r="O87" s="29"/>
    </row>
    <row r="88" spans="1:15" s="50" customFormat="1" x14ac:dyDescent="0.25">
      <c r="A88" s="25"/>
      <c r="B88" s="25"/>
      <c r="C88" s="1"/>
      <c r="D88" s="36"/>
      <c r="E88" s="56"/>
      <c r="G88" s="29"/>
      <c r="H88" s="78"/>
      <c r="I88" s="29"/>
      <c r="J88" s="29"/>
      <c r="K88" s="29"/>
      <c r="L88" s="29"/>
      <c r="M88" s="29"/>
      <c r="N88" s="29"/>
      <c r="O88" s="29"/>
    </row>
    <row r="89" spans="1:15" s="50" customFormat="1" x14ac:dyDescent="0.25">
      <c r="A89" s="25"/>
      <c r="B89" s="25"/>
      <c r="C89" s="1"/>
      <c r="D89" s="36"/>
      <c r="E89" s="56"/>
      <c r="G89" s="29"/>
      <c r="H89" s="78"/>
      <c r="I89" s="29"/>
      <c r="J89" s="29"/>
      <c r="K89" s="29"/>
      <c r="L89" s="29"/>
      <c r="M89" s="29"/>
      <c r="N89" s="29"/>
      <c r="O89" s="29"/>
    </row>
    <row r="90" spans="1:15" s="50" customFormat="1" x14ac:dyDescent="0.25">
      <c r="A90" s="25"/>
      <c r="B90" s="25"/>
      <c r="C90" s="1"/>
      <c r="D90" s="36"/>
      <c r="E90" s="56"/>
      <c r="G90" s="29"/>
      <c r="H90" s="78"/>
      <c r="I90" s="29"/>
      <c r="J90" s="29"/>
      <c r="K90" s="29"/>
      <c r="L90" s="29"/>
      <c r="M90" s="29"/>
      <c r="N90" s="29"/>
      <c r="O90" s="29"/>
    </row>
    <row r="91" spans="1:15" s="50" customFormat="1" x14ac:dyDescent="0.25">
      <c r="A91" s="25"/>
      <c r="B91" s="25"/>
      <c r="C91" s="1"/>
      <c r="D91" s="36"/>
      <c r="E91" s="56"/>
      <c r="G91" s="29"/>
      <c r="H91" s="78"/>
      <c r="I91" s="29"/>
      <c r="J91" s="29"/>
      <c r="K91" s="29"/>
      <c r="L91" s="29"/>
      <c r="M91" s="29"/>
      <c r="N91" s="29"/>
      <c r="O91" s="29"/>
    </row>
    <row r="92" spans="1:15" s="50" customFormat="1" x14ac:dyDescent="0.25">
      <c r="A92" s="25"/>
      <c r="B92" s="25"/>
      <c r="C92" s="1"/>
      <c r="D92" s="36"/>
      <c r="E92" s="56"/>
      <c r="G92" s="29"/>
      <c r="H92" s="78"/>
      <c r="I92" s="29"/>
      <c r="J92" s="29"/>
      <c r="K92" s="29"/>
      <c r="L92" s="29"/>
      <c r="M92" s="29"/>
      <c r="N92" s="29"/>
      <c r="O92" s="29"/>
    </row>
    <row r="93" spans="1:15" s="50" customFormat="1" x14ac:dyDescent="0.25">
      <c r="A93" s="25"/>
      <c r="B93" s="25"/>
      <c r="C93" s="1"/>
      <c r="D93" s="36"/>
      <c r="E93" s="56"/>
      <c r="G93" s="29"/>
      <c r="H93" s="78"/>
      <c r="I93" s="29"/>
      <c r="J93" s="29"/>
      <c r="K93" s="29"/>
      <c r="L93" s="29"/>
      <c r="M93" s="29"/>
      <c r="N93" s="29"/>
      <c r="O93" s="29"/>
    </row>
    <row r="94" spans="1:15" s="50" customFormat="1" x14ac:dyDescent="0.25">
      <c r="A94" s="25"/>
      <c r="B94" s="25"/>
      <c r="C94" s="1"/>
      <c r="D94" s="36"/>
      <c r="E94" s="56"/>
      <c r="G94" s="29"/>
      <c r="H94" s="78"/>
      <c r="I94" s="29"/>
      <c r="J94" s="29"/>
      <c r="K94" s="29"/>
      <c r="L94" s="29"/>
      <c r="M94" s="29"/>
      <c r="N94" s="29"/>
      <c r="O94" s="29"/>
    </row>
  </sheetData>
  <sheetProtection password="C644" sheet="1" objects="1" scenarios="1" selectLockedCells="1"/>
  <mergeCells count="4">
    <mergeCell ref="A1:B1"/>
    <mergeCell ref="A2:C2"/>
    <mergeCell ref="H2:L11"/>
    <mergeCell ref="B23:C37"/>
  </mergeCells>
  <dataValidations count="1">
    <dataValidation type="list" allowBlank="1" showInputMessage="1" showErrorMessage="1" sqref="C10 C7 C18 C15">
      <formula1>Liste_oui_non_NSP</formula1>
    </dataValidation>
  </dataValidations>
  <pageMargins left="0.25" right="0.25" top="0.75" bottom="0.75" header="0.3" footer="0.3"/>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5"/>
  <sheetViews>
    <sheetView showGridLines="0" zoomScaleNormal="100" zoomScaleSheetLayoutView="100" workbookViewId="0">
      <selection activeCell="C10" sqref="C10"/>
    </sheetView>
  </sheetViews>
  <sheetFormatPr baseColWidth="10" defaultRowHeight="15" x14ac:dyDescent="0.25"/>
  <cols>
    <col min="1" max="1" width="2.85546875" style="25" bestFit="1" customWidth="1"/>
    <col min="2" max="2" width="63" style="25" customWidth="1"/>
    <col min="3" max="3" width="32.7109375" style="1" customWidth="1"/>
    <col min="4" max="4" width="4.42578125" style="1" hidden="1" customWidth="1"/>
    <col min="5" max="5" width="17.7109375" style="256" hidden="1" customWidth="1"/>
    <col min="6" max="6" width="5.5703125" style="42" hidden="1" customWidth="1"/>
    <col min="7" max="9" width="0" style="29" hidden="1" customWidth="1"/>
    <col min="10" max="16384" width="11.42578125" style="29"/>
  </cols>
  <sheetData>
    <row r="1" spans="1:15" ht="9.75" customHeight="1" thickBot="1" x14ac:dyDescent="0.3"/>
    <row r="2" spans="1:15" s="191" customFormat="1" ht="24" thickBot="1" x14ac:dyDescent="0.3">
      <c r="A2" s="481" t="s">
        <v>20</v>
      </c>
      <c r="B2" s="481"/>
      <c r="C2" s="378" t="str">
        <f>IF(SUM(F10:F16)&lt;2,C23,IF(C8=Listes!B17,Listes!B17,VLOOKUP(B20,$A$8:$C$35,3,0)))</f>
        <v>Risque fort</v>
      </c>
      <c r="D2" s="190"/>
      <c r="F2" s="192"/>
      <c r="G2" s="193"/>
      <c r="H2" s="194"/>
      <c r="I2" s="194"/>
    </row>
    <row r="3" spans="1:15" s="216" customFormat="1" ht="95.25" customHeight="1" x14ac:dyDescent="0.25">
      <c r="A3" s="480" t="s">
        <v>329</v>
      </c>
      <c r="B3" s="480"/>
      <c r="C3" s="480"/>
      <c r="D3" s="231"/>
      <c r="E3" s="231"/>
      <c r="F3" s="215"/>
      <c r="G3" s="215"/>
      <c r="K3" s="479" t="s">
        <v>557</v>
      </c>
      <c r="L3" s="479"/>
      <c r="M3" s="479"/>
      <c r="N3" s="479"/>
      <c r="O3" s="479"/>
    </row>
    <row r="4" spans="1:15" x14ac:dyDescent="0.25">
      <c r="K4" s="479"/>
      <c r="L4" s="479"/>
      <c r="M4" s="479"/>
      <c r="N4" s="479"/>
      <c r="O4" s="479"/>
    </row>
    <row r="5" spans="1:15" x14ac:dyDescent="0.25">
      <c r="K5" s="479"/>
      <c r="L5" s="479"/>
      <c r="M5" s="479"/>
      <c r="N5" s="479"/>
      <c r="O5" s="479"/>
    </row>
    <row r="6" spans="1:15" x14ac:dyDescent="0.25">
      <c r="K6" s="479"/>
      <c r="L6" s="479"/>
      <c r="M6" s="479"/>
      <c r="N6" s="479"/>
      <c r="O6" s="479"/>
    </row>
    <row r="7" spans="1:15" x14ac:dyDescent="0.25">
      <c r="K7" s="479"/>
      <c r="L7" s="479"/>
      <c r="M7" s="479"/>
      <c r="N7" s="479"/>
      <c r="O7" s="479"/>
    </row>
    <row r="8" spans="1:15" s="219" customFormat="1" ht="24" x14ac:dyDescent="0.25">
      <c r="A8" s="162" t="s">
        <v>493</v>
      </c>
      <c r="B8" s="269" t="s">
        <v>500</v>
      </c>
      <c r="C8" s="257" t="str">
        <f>IF(SUM(F10:F16)&lt;2,"Risque non négligeable sans investigation complémentaire","Risque faible")</f>
        <v>Risque non négligeable sans investigation complémentaire</v>
      </c>
      <c r="D8" s="233"/>
      <c r="E8" s="233"/>
      <c r="F8" s="233"/>
      <c r="G8" s="218"/>
      <c r="K8" s="479"/>
      <c r="L8" s="479"/>
      <c r="M8" s="479"/>
      <c r="N8" s="479"/>
      <c r="O8" s="479"/>
    </row>
    <row r="9" spans="1:15" ht="15.75" thickBot="1" x14ac:dyDescent="0.3">
      <c r="K9" s="479"/>
      <c r="L9" s="479"/>
      <c r="M9" s="479"/>
      <c r="N9" s="479"/>
      <c r="O9" s="479"/>
    </row>
    <row r="10" spans="1:15" s="30" customFormat="1" ht="15.75" thickBot="1" x14ac:dyDescent="0.3">
      <c r="A10" s="24"/>
      <c r="B10" s="341" t="s">
        <v>292</v>
      </c>
      <c r="C10" s="258" t="s">
        <v>310</v>
      </c>
      <c r="D10" s="25"/>
      <c r="E10" s="29"/>
      <c r="F10" s="42">
        <f>VLOOKUP(C10,Listes!$L$2:$P$236,4,0)</f>
        <v>0</v>
      </c>
      <c r="K10" s="479"/>
      <c r="L10" s="479"/>
      <c r="M10" s="479"/>
      <c r="N10" s="479"/>
      <c r="O10" s="479"/>
    </row>
    <row r="11" spans="1:15" s="30" customFormat="1" ht="36" x14ac:dyDescent="0.25">
      <c r="A11" s="24"/>
      <c r="B11" s="226" t="s">
        <v>313</v>
      </c>
      <c r="C11" s="141" t="str">
        <f>VLOOKUP(C10,Listes!$L$2:$P$236,3,0)</f>
        <v>Origine géographique inconnue</v>
      </c>
      <c r="D11" s="25"/>
      <c r="E11" s="29"/>
      <c r="F11" s="42"/>
      <c r="K11" s="479"/>
      <c r="L11" s="479"/>
      <c r="M11" s="479"/>
      <c r="N11" s="479"/>
      <c r="O11" s="479"/>
    </row>
    <row r="12" spans="1:15" ht="15.75" thickBot="1" x14ac:dyDescent="0.3">
      <c r="D12" s="25"/>
      <c r="E12" s="29"/>
      <c r="K12" s="479"/>
      <c r="L12" s="479"/>
      <c r="M12" s="479"/>
      <c r="N12" s="479"/>
      <c r="O12" s="479"/>
    </row>
    <row r="13" spans="1:15" ht="24.75" thickBot="1" x14ac:dyDescent="0.3">
      <c r="B13" s="341" t="s">
        <v>334</v>
      </c>
      <c r="C13" s="258" t="s">
        <v>311</v>
      </c>
      <c r="D13" s="25"/>
      <c r="E13" s="29"/>
      <c r="F13" s="42">
        <f>VLOOKUP(C13,Listes!$B$7:$G$12,6,0)</f>
        <v>0</v>
      </c>
    </row>
    <row r="14" spans="1:15" ht="24" x14ac:dyDescent="0.25">
      <c r="B14" s="226" t="s">
        <v>324</v>
      </c>
      <c r="C14" s="141"/>
      <c r="D14" s="25"/>
      <c r="E14" s="29"/>
    </row>
    <row r="15" spans="1:15" ht="15.75" thickBot="1" x14ac:dyDescent="0.3">
      <c r="B15" s="253" t="str">
        <f>IF(C13=Listes!B9,"Merci de compléter votre réponse :","")</f>
        <v/>
      </c>
      <c r="C15" s="25"/>
      <c r="D15" s="25"/>
      <c r="E15" s="29"/>
    </row>
    <row r="16" spans="1:15" ht="15.75" thickBot="1" x14ac:dyDescent="0.3">
      <c r="B16" s="380" t="str">
        <f>IF(C13=Listes!B9,"De quel système de certification s'agit-il ?","")</f>
        <v/>
      </c>
      <c r="C16" s="258"/>
      <c r="D16" s="25"/>
      <c r="E16" s="29"/>
    </row>
    <row r="17" spans="1:7" x14ac:dyDescent="0.25">
      <c r="B17" s="83"/>
      <c r="C17" s="83"/>
      <c r="D17" s="25"/>
      <c r="E17" s="29"/>
    </row>
    <row r="18" spans="1:7" x14ac:dyDescent="0.25">
      <c r="B18" s="83"/>
      <c r="C18" s="83"/>
      <c r="D18" s="25"/>
      <c r="E18" s="29"/>
    </row>
    <row r="19" spans="1:7" ht="18" x14ac:dyDescent="0.25">
      <c r="B19" s="379" t="s">
        <v>326</v>
      </c>
      <c r="C19" s="223"/>
      <c r="D19" s="25"/>
      <c r="E19" s="29"/>
    </row>
    <row r="20" spans="1:7" ht="34.5" customHeight="1" x14ac:dyDescent="0.25">
      <c r="B20" s="477" t="str">
        <f>IF(SUM(F10:F13)&lt;2,"Poursuivre ci-dessous","Fin de l'évaluation relative à la biodiversité")</f>
        <v>Poursuivre ci-dessous</v>
      </c>
      <c r="C20" s="477"/>
      <c r="D20" s="25"/>
      <c r="E20" s="29"/>
    </row>
    <row r="21" spans="1:7" ht="36" customHeight="1" x14ac:dyDescent="0.25">
      <c r="B21" s="489" t="str">
        <f>IF(F10=2,"Le bois récolté sur le territoire de l'Union Européenne est considéré comme respectant les exigences et les règles ou les bonnes conditions agricoles et environnementales applicables dans le cadre de la politique agricole communautaire.",VLOOKUP(C13,Listes!$B$7:$G$12,5,0))</f>
        <v>Seule une analyse complète du lieu de récolte permet de garantir la prise en compte de la biodiversité. Le risque est considéré comme non négligeable sans une analyse des risques supplémentaire</v>
      </c>
      <c r="C21" s="489"/>
      <c r="D21" s="25"/>
      <c r="E21" s="29"/>
    </row>
    <row r="22" spans="1:7" x14ac:dyDescent="0.25">
      <c r="C22" s="25"/>
      <c r="D22" s="25"/>
      <c r="E22" s="29"/>
    </row>
    <row r="23" spans="1:7" s="219" customFormat="1" ht="18" x14ac:dyDescent="0.25">
      <c r="A23" s="171" t="s">
        <v>493</v>
      </c>
      <c r="B23" s="161" t="s">
        <v>495</v>
      </c>
      <c r="C23" s="257" t="str">
        <f>IF(B20="Poursuivre ci-dessous",IF(SUM(F25:F35)/(COUNTA(F25:F35)*2)=1,"Risque Faible","Risque fort"),"Non applicable")</f>
        <v>Risque fort</v>
      </c>
      <c r="D23" s="233"/>
      <c r="E23" s="233"/>
      <c r="F23" s="233">
        <f>IF(C23="Non applicable",C23,SUM(F25:F35)/(COUNTA(F25:F35)*2))</f>
        <v>0</v>
      </c>
      <c r="G23" s="218"/>
    </row>
    <row r="24" spans="1:7" ht="15.75" thickBot="1" x14ac:dyDescent="0.3">
      <c r="B24" s="222"/>
      <c r="C24" s="221"/>
      <c r="D24" s="25"/>
      <c r="E24" s="29"/>
    </row>
    <row r="25" spans="1:7" ht="15.75" thickBot="1" x14ac:dyDescent="0.3">
      <c r="B25" s="341" t="s">
        <v>471</v>
      </c>
      <c r="C25" s="220" t="s">
        <v>311</v>
      </c>
      <c r="D25" s="25"/>
      <c r="E25" s="29"/>
      <c r="F25" s="42">
        <f>IF(C25="Oui",0,IF(C25="Non",2,0))</f>
        <v>0</v>
      </c>
    </row>
    <row r="26" spans="1:7" ht="36" x14ac:dyDescent="0.25">
      <c r="B26" s="430" t="s">
        <v>517</v>
      </c>
      <c r="D26" s="25"/>
      <c r="E26" s="29"/>
    </row>
    <row r="27" spans="1:7" x14ac:dyDescent="0.25">
      <c r="B27" s="429" t="s">
        <v>516</v>
      </c>
      <c r="C27" s="222"/>
      <c r="D27" s="25"/>
      <c r="E27" s="29"/>
    </row>
    <row r="28" spans="1:7" ht="15.75" thickBot="1" x14ac:dyDescent="0.3">
      <c r="B28" s="491" t="str">
        <f>IF(C23="Non applicable","Non applicable si le système de certification prend en compte la biodiversité","")</f>
        <v/>
      </c>
      <c r="C28" s="491"/>
      <c r="D28" s="25"/>
      <c r="E28" s="29"/>
    </row>
    <row r="29" spans="1:7" ht="24.75" thickBot="1" x14ac:dyDescent="0.3">
      <c r="B29" s="341" t="s">
        <v>472</v>
      </c>
      <c r="C29" s="220" t="s">
        <v>311</v>
      </c>
      <c r="D29" s="25"/>
      <c r="E29" s="29"/>
      <c r="F29" s="42">
        <f>IF(C29="Oui",0,IF(C29="Non",2,0))</f>
        <v>0</v>
      </c>
    </row>
    <row r="30" spans="1:7" ht="60" x14ac:dyDescent="0.25">
      <c r="B30" s="430" t="s">
        <v>473</v>
      </c>
      <c r="C30" s="29"/>
      <c r="D30" s="25"/>
      <c r="E30" s="29"/>
    </row>
    <row r="31" spans="1:7" x14ac:dyDescent="0.25">
      <c r="B31" s="429" t="s">
        <v>6</v>
      </c>
      <c r="C31" s="227"/>
      <c r="D31" s="25"/>
      <c r="E31" s="29"/>
    </row>
    <row r="32" spans="1:7" ht="15.75" thickBot="1" x14ac:dyDescent="0.3">
      <c r="B32" s="222"/>
      <c r="C32" s="227"/>
      <c r="D32" s="25"/>
      <c r="E32" s="29"/>
    </row>
    <row r="33" spans="1:10" ht="24.75" thickBot="1" x14ac:dyDescent="0.3">
      <c r="B33" s="341" t="s">
        <v>475</v>
      </c>
      <c r="C33" s="220" t="s">
        <v>311</v>
      </c>
      <c r="D33" s="25"/>
      <c r="E33" s="29"/>
      <c r="F33" s="42">
        <f>IF(C33="Oui",0,IF(C33="Non",2,0))</f>
        <v>0</v>
      </c>
    </row>
    <row r="34" spans="1:10" x14ac:dyDescent="0.25">
      <c r="B34" s="429" t="s">
        <v>361</v>
      </c>
      <c r="D34" s="25"/>
      <c r="E34" s="29"/>
    </row>
    <row r="35" spans="1:10" x14ac:dyDescent="0.25">
      <c r="B35" s="429" t="s">
        <v>362</v>
      </c>
      <c r="D35" s="25"/>
      <c r="E35" s="29"/>
    </row>
    <row r="36" spans="1:10" s="49" customFormat="1" x14ac:dyDescent="0.25">
      <c r="A36" s="48"/>
      <c r="B36" s="429" t="s">
        <v>363</v>
      </c>
      <c r="D36" s="48"/>
      <c r="F36" s="51"/>
    </row>
    <row r="37" spans="1:10" x14ac:dyDescent="0.25">
      <c r="B37" s="429" t="s">
        <v>364</v>
      </c>
      <c r="D37" s="25"/>
      <c r="E37" s="29"/>
    </row>
    <row r="38" spans="1:10" x14ac:dyDescent="0.25">
      <c r="B38" s="429" t="s">
        <v>365</v>
      </c>
      <c r="D38" s="25"/>
      <c r="E38" s="29"/>
    </row>
    <row r="39" spans="1:10" x14ac:dyDescent="0.25">
      <c r="A39" s="29"/>
      <c r="B39" s="249"/>
      <c r="C39" s="223"/>
      <c r="D39" s="25"/>
      <c r="E39" s="29"/>
    </row>
    <row r="40" spans="1:10" x14ac:dyDescent="0.25">
      <c r="B40" s="222"/>
      <c r="C40" s="223"/>
      <c r="D40" s="25"/>
      <c r="E40" s="29"/>
    </row>
    <row r="41" spans="1:10" s="219" customFormat="1" ht="18" x14ac:dyDescent="0.25">
      <c r="A41" s="171" t="s">
        <v>493</v>
      </c>
      <c r="B41" s="161" t="s">
        <v>478</v>
      </c>
      <c r="C41" s="214" t="str">
        <f>CONCATENATE(C63," ",D63," ",E63)</f>
        <v xml:space="preserve">  </v>
      </c>
      <c r="D41" s="233"/>
      <c r="E41" s="233"/>
      <c r="F41" s="233"/>
      <c r="G41" s="218"/>
    </row>
    <row r="42" spans="1:10" x14ac:dyDescent="0.25">
      <c r="C42" s="31"/>
      <c r="D42" s="25"/>
      <c r="E42" s="25"/>
      <c r="F42" s="25"/>
      <c r="G42" s="25"/>
      <c r="H42" s="25"/>
      <c r="J42" s="44"/>
    </row>
    <row r="43" spans="1:10" x14ac:dyDescent="0.25">
      <c r="B43" s="471" t="s">
        <v>507</v>
      </c>
      <c r="C43" s="472"/>
      <c r="D43" s="118"/>
      <c r="E43" s="118"/>
      <c r="F43" s="118"/>
      <c r="G43" s="118"/>
      <c r="H43" s="25"/>
      <c r="J43" s="44"/>
    </row>
    <row r="44" spans="1:10" x14ac:dyDescent="0.25">
      <c r="B44" s="473"/>
      <c r="C44" s="474"/>
      <c r="D44" s="118"/>
      <c r="E44" s="118"/>
      <c r="F44" s="118"/>
      <c r="G44" s="118"/>
      <c r="H44" s="25"/>
      <c r="J44" s="44"/>
    </row>
    <row r="45" spans="1:10" x14ac:dyDescent="0.25">
      <c r="B45" s="473"/>
      <c r="C45" s="474"/>
      <c r="D45" s="118"/>
      <c r="E45" s="118"/>
      <c r="F45" s="118"/>
      <c r="G45" s="118"/>
      <c r="H45" s="25"/>
      <c r="J45" s="44"/>
    </row>
    <row r="46" spans="1:10" x14ac:dyDescent="0.25">
      <c r="B46" s="473"/>
      <c r="C46" s="474"/>
      <c r="D46" s="118"/>
      <c r="E46" s="118"/>
      <c r="F46" s="118"/>
      <c r="G46" s="118"/>
      <c r="H46" s="25"/>
      <c r="J46" s="44"/>
    </row>
    <row r="47" spans="1:10" x14ac:dyDescent="0.25">
      <c r="B47" s="473"/>
      <c r="C47" s="474"/>
      <c r="D47" s="118"/>
      <c r="E47" s="118"/>
      <c r="F47" s="118"/>
      <c r="G47" s="118"/>
      <c r="H47" s="25"/>
      <c r="J47" s="44"/>
    </row>
    <row r="48" spans="1:10" x14ac:dyDescent="0.25">
      <c r="B48" s="473"/>
      <c r="C48" s="474"/>
      <c r="D48" s="118"/>
      <c r="E48" s="118"/>
      <c r="F48" s="118"/>
      <c r="G48" s="118"/>
      <c r="H48" s="25"/>
      <c r="J48" s="44"/>
    </row>
    <row r="49" spans="2:10" x14ac:dyDescent="0.25">
      <c r="B49" s="473"/>
      <c r="C49" s="474"/>
      <c r="D49" s="118"/>
      <c r="E49" s="118"/>
      <c r="F49" s="118"/>
      <c r="G49" s="118"/>
      <c r="H49" s="25"/>
      <c r="J49" s="44"/>
    </row>
    <row r="50" spans="2:10" x14ac:dyDescent="0.25">
      <c r="B50" s="473"/>
      <c r="C50" s="474"/>
      <c r="D50" s="118"/>
      <c r="E50" s="118"/>
      <c r="F50" s="118"/>
      <c r="G50" s="118"/>
      <c r="H50" s="25"/>
      <c r="J50" s="44"/>
    </row>
    <row r="51" spans="2:10" x14ac:dyDescent="0.25">
      <c r="B51" s="473"/>
      <c r="C51" s="474"/>
      <c r="D51" s="118"/>
      <c r="E51" s="118"/>
      <c r="F51" s="118"/>
      <c r="G51" s="118"/>
      <c r="H51" s="25"/>
      <c r="J51" s="44"/>
    </row>
    <row r="52" spans="2:10" x14ac:dyDescent="0.25">
      <c r="B52" s="473"/>
      <c r="C52" s="474"/>
      <c r="D52" s="118"/>
      <c r="E52" s="118"/>
      <c r="F52" s="118"/>
      <c r="G52" s="118"/>
      <c r="H52" s="25"/>
      <c r="J52" s="44"/>
    </row>
    <row r="53" spans="2:10" x14ac:dyDescent="0.25">
      <c r="B53" s="473"/>
      <c r="C53" s="474"/>
      <c r="D53" s="118"/>
      <c r="E53" s="118"/>
      <c r="F53" s="118"/>
      <c r="G53" s="118"/>
      <c r="H53" s="25"/>
      <c r="J53" s="44"/>
    </row>
    <row r="54" spans="2:10" x14ac:dyDescent="0.25">
      <c r="B54" s="473"/>
      <c r="C54" s="474"/>
      <c r="D54" s="118"/>
      <c r="E54" s="118"/>
      <c r="F54" s="118"/>
      <c r="G54" s="118"/>
      <c r="H54" s="25"/>
      <c r="J54" s="44"/>
    </row>
    <row r="55" spans="2:10" x14ac:dyDescent="0.25">
      <c r="B55" s="473"/>
      <c r="C55" s="474"/>
      <c r="D55" s="118"/>
      <c r="E55" s="118"/>
      <c r="F55" s="118"/>
      <c r="G55" s="118"/>
      <c r="H55" s="25"/>
      <c r="J55" s="44"/>
    </row>
    <row r="56" spans="2:10" x14ac:dyDescent="0.25">
      <c r="B56" s="473"/>
      <c r="C56" s="474"/>
      <c r="D56" s="118"/>
      <c r="E56" s="118"/>
      <c r="F56" s="118"/>
      <c r="G56" s="118"/>
      <c r="H56" s="25"/>
      <c r="J56" s="44"/>
    </row>
    <row r="57" spans="2:10" x14ac:dyDescent="0.25">
      <c r="B57" s="475"/>
      <c r="C57" s="476"/>
      <c r="D57" s="118"/>
      <c r="E57" s="118"/>
      <c r="F57" s="118"/>
      <c r="G57" s="118"/>
      <c r="H57" s="25"/>
      <c r="J57" s="44"/>
    </row>
    <row r="58" spans="2:10" x14ac:dyDescent="0.25">
      <c r="C58" s="31"/>
      <c r="D58" s="25"/>
      <c r="E58" s="25"/>
      <c r="F58" s="25"/>
      <c r="G58" s="25"/>
      <c r="H58" s="25"/>
      <c r="J58" s="44"/>
    </row>
    <row r="59" spans="2:10" x14ac:dyDescent="0.25">
      <c r="D59" s="25"/>
      <c r="E59" s="29"/>
    </row>
    <row r="60" spans="2:10" x14ac:dyDescent="0.25">
      <c r="D60" s="25"/>
      <c r="E60" s="29"/>
    </row>
    <row r="61" spans="2:10" x14ac:dyDescent="0.25">
      <c r="D61" s="25"/>
      <c r="E61" s="29"/>
    </row>
    <row r="62" spans="2:10" x14ac:dyDescent="0.25">
      <c r="D62" s="25"/>
      <c r="E62" s="29"/>
    </row>
    <row r="63" spans="2:10" x14ac:dyDescent="0.25">
      <c r="D63" s="25"/>
      <c r="E63" s="29"/>
    </row>
    <row r="64" spans="2:10" x14ac:dyDescent="0.25">
      <c r="D64" s="25"/>
      <c r="E64" s="29"/>
    </row>
    <row r="65" spans="4:5" x14ac:dyDescent="0.25">
      <c r="D65" s="25"/>
      <c r="E65" s="29"/>
    </row>
    <row r="66" spans="4:5" x14ac:dyDescent="0.25">
      <c r="D66" s="25"/>
      <c r="E66" s="29"/>
    </row>
    <row r="67" spans="4:5" x14ac:dyDescent="0.25">
      <c r="D67" s="25"/>
      <c r="E67" s="29"/>
    </row>
    <row r="68" spans="4:5" x14ac:dyDescent="0.25">
      <c r="D68" s="25"/>
      <c r="E68" s="29"/>
    </row>
    <row r="69" spans="4:5" x14ac:dyDescent="0.25">
      <c r="D69" s="25"/>
      <c r="E69" s="29"/>
    </row>
    <row r="70" spans="4:5" x14ac:dyDescent="0.25">
      <c r="D70" s="25"/>
      <c r="E70" s="29"/>
    </row>
    <row r="71" spans="4:5" x14ac:dyDescent="0.25">
      <c r="D71" s="25"/>
      <c r="E71" s="29"/>
    </row>
    <row r="72" spans="4:5" x14ac:dyDescent="0.25">
      <c r="D72" s="25"/>
      <c r="E72" s="29"/>
    </row>
    <row r="73" spans="4:5" x14ac:dyDescent="0.25">
      <c r="D73" s="25"/>
      <c r="E73" s="29"/>
    </row>
    <row r="74" spans="4:5" x14ac:dyDescent="0.25">
      <c r="D74" s="25"/>
      <c r="E74" s="29"/>
    </row>
    <row r="75" spans="4:5" x14ac:dyDescent="0.25">
      <c r="D75" s="25"/>
      <c r="E75" s="29"/>
    </row>
    <row r="76" spans="4:5" x14ac:dyDescent="0.25">
      <c r="D76" s="25"/>
      <c r="E76" s="29"/>
    </row>
    <row r="77" spans="4:5" x14ac:dyDescent="0.25">
      <c r="D77" s="25"/>
      <c r="E77" s="29"/>
    </row>
    <row r="78" spans="4:5" x14ac:dyDescent="0.25">
      <c r="D78" s="25"/>
      <c r="E78" s="29"/>
    </row>
    <row r="79" spans="4:5" x14ac:dyDescent="0.25">
      <c r="D79" s="25"/>
      <c r="E79" s="29"/>
    </row>
    <row r="80" spans="4:5" x14ac:dyDescent="0.25">
      <c r="D80" s="25"/>
      <c r="E80" s="29"/>
    </row>
    <row r="81" spans="4:5" x14ac:dyDescent="0.25">
      <c r="D81" s="25"/>
      <c r="E81" s="29"/>
    </row>
    <row r="82" spans="4:5" x14ac:dyDescent="0.25">
      <c r="D82" s="25"/>
      <c r="E82" s="29"/>
    </row>
    <row r="83" spans="4:5" x14ac:dyDescent="0.25">
      <c r="D83" s="25"/>
      <c r="E83" s="29"/>
    </row>
    <row r="84" spans="4:5" x14ac:dyDescent="0.25">
      <c r="D84" s="25"/>
      <c r="E84" s="29"/>
    </row>
    <row r="85" spans="4:5" x14ac:dyDescent="0.25">
      <c r="D85" s="25"/>
      <c r="E85" s="29"/>
    </row>
    <row r="86" spans="4:5" x14ac:dyDescent="0.25">
      <c r="E86" s="29"/>
    </row>
    <row r="87" spans="4:5" x14ac:dyDescent="0.25">
      <c r="D87" s="25"/>
      <c r="E87" s="29"/>
    </row>
    <row r="88" spans="4:5" x14ac:dyDescent="0.25">
      <c r="D88" s="25"/>
      <c r="E88" s="29"/>
    </row>
    <row r="89" spans="4:5" x14ac:dyDescent="0.25">
      <c r="D89" s="25"/>
      <c r="E89" s="29"/>
    </row>
    <row r="90" spans="4:5" x14ac:dyDescent="0.25">
      <c r="D90" s="25"/>
      <c r="E90" s="29"/>
    </row>
    <row r="91" spans="4:5" x14ac:dyDescent="0.25">
      <c r="D91" s="25"/>
      <c r="E91" s="29"/>
    </row>
    <row r="92" spans="4:5" x14ac:dyDescent="0.25">
      <c r="D92" s="25"/>
      <c r="E92" s="29"/>
    </row>
    <row r="93" spans="4:5" x14ac:dyDescent="0.25">
      <c r="D93" s="25"/>
      <c r="E93" s="29"/>
    </row>
    <row r="94" spans="4:5" x14ac:dyDescent="0.25">
      <c r="D94" s="25"/>
      <c r="E94" s="29"/>
    </row>
    <row r="95" spans="4:5" x14ac:dyDescent="0.25">
      <c r="D95" s="25"/>
      <c r="E95" s="29"/>
    </row>
    <row r="96" spans="4:5" x14ac:dyDescent="0.25">
      <c r="D96" s="25"/>
      <c r="E96" s="29"/>
    </row>
    <row r="97" spans="4:5" x14ac:dyDescent="0.25">
      <c r="D97" s="25"/>
      <c r="E97" s="29"/>
    </row>
    <row r="98" spans="4:5" x14ac:dyDescent="0.25">
      <c r="D98" s="25"/>
      <c r="E98" s="29"/>
    </row>
    <row r="99" spans="4:5" x14ac:dyDescent="0.25">
      <c r="D99" s="25"/>
      <c r="E99" s="29"/>
    </row>
    <row r="100" spans="4:5" x14ac:dyDescent="0.25">
      <c r="D100" s="25"/>
      <c r="E100" s="29"/>
    </row>
    <row r="101" spans="4:5" x14ac:dyDescent="0.25">
      <c r="D101" s="25"/>
      <c r="E101" s="29"/>
    </row>
    <row r="102" spans="4:5" x14ac:dyDescent="0.25">
      <c r="D102" s="25"/>
      <c r="E102" s="29"/>
    </row>
    <row r="103" spans="4:5" x14ac:dyDescent="0.25">
      <c r="D103" s="25"/>
      <c r="E103" s="29"/>
    </row>
    <row r="104" spans="4:5" x14ac:dyDescent="0.25">
      <c r="D104" s="25"/>
      <c r="E104" s="29"/>
    </row>
    <row r="105" spans="4:5" x14ac:dyDescent="0.25">
      <c r="D105" s="25"/>
      <c r="E105" s="29"/>
    </row>
    <row r="106" spans="4:5" x14ac:dyDescent="0.25">
      <c r="D106" s="25"/>
      <c r="E106" s="29"/>
    </row>
    <row r="107" spans="4:5" x14ac:dyDescent="0.25">
      <c r="D107" s="25"/>
      <c r="E107" s="29"/>
    </row>
    <row r="108" spans="4:5" x14ac:dyDescent="0.25">
      <c r="D108" s="25"/>
      <c r="E108" s="29"/>
    </row>
    <row r="109" spans="4:5" x14ac:dyDescent="0.25">
      <c r="D109" s="25"/>
      <c r="E109" s="29"/>
    </row>
    <row r="110" spans="4:5" x14ac:dyDescent="0.25">
      <c r="D110" s="25"/>
      <c r="E110" s="29"/>
    </row>
    <row r="111" spans="4:5" x14ac:dyDescent="0.25">
      <c r="D111" s="25"/>
      <c r="E111" s="29"/>
    </row>
    <row r="112" spans="4:5" x14ac:dyDescent="0.25">
      <c r="D112" s="25"/>
      <c r="E112" s="29"/>
    </row>
    <row r="113" spans="4:5" x14ac:dyDescent="0.25">
      <c r="D113" s="25"/>
      <c r="E113" s="29"/>
    </row>
    <row r="114" spans="4:5" x14ac:dyDescent="0.25">
      <c r="D114" s="25"/>
      <c r="E114" s="29"/>
    </row>
    <row r="115" spans="4:5" x14ac:dyDescent="0.25">
      <c r="D115" s="25"/>
      <c r="E115" s="29"/>
    </row>
  </sheetData>
  <sheetProtection password="C644" sheet="1" objects="1" scenarios="1" selectLockedCells="1"/>
  <mergeCells count="7">
    <mergeCell ref="K3:O12"/>
    <mergeCell ref="A2:B2"/>
    <mergeCell ref="B28:C28"/>
    <mergeCell ref="B43:C57"/>
    <mergeCell ref="B20:C20"/>
    <mergeCell ref="B21:C21"/>
    <mergeCell ref="A3:C3"/>
  </mergeCells>
  <phoneticPr fontId="32" type="noConversion"/>
  <conditionalFormatting sqref="B15:C15 C16">
    <cfRule type="expression" dxfId="31" priority="16" stopIfTrue="1">
      <formula>$F$13=0</formula>
    </cfRule>
  </conditionalFormatting>
  <conditionalFormatting sqref="A24:A39 B24:B26 D28:IU28 C39:IU39 D34:IU38 C24:IU25 D26:IU26 B27:IU27 C29:IU29 C31:IU33 D30:IU30 B29:B39">
    <cfRule type="expression" dxfId="30" priority="18" stopIfTrue="1">
      <formula>$C$23="Non applicable"</formula>
    </cfRule>
  </conditionalFormatting>
  <dataValidations count="3">
    <dataValidation type="list" allowBlank="1" showInputMessage="1" showErrorMessage="1" sqref="C25 C29 C33">
      <formula1>Liste_oui_non_NSP</formula1>
    </dataValidation>
    <dataValidation type="list" allowBlank="1" showInputMessage="1" showErrorMessage="1" sqref="C10">
      <formula1>PAYS</formula1>
    </dataValidation>
    <dataValidation type="list" allowBlank="1" showInputMessage="1" showErrorMessage="1" sqref="C13">
      <formula1>Systeme_verification</formula1>
    </dataValidation>
  </dataValidations>
  <hyperlinks>
    <hyperlink ref="B31" r:id="rId1"/>
    <hyperlink ref="B27" r:id="rId2"/>
    <hyperlink ref="B37" r:id="rId3"/>
    <hyperlink ref="B36" r:id="rId4"/>
  </hyperlinks>
  <pageMargins left="0.25" right="0.25" top="0.75" bottom="0.75" header="0.3" footer="0.3"/>
  <pageSetup paperSize="9" fitToHeight="2" orientation="portrait" r:id="rId5"/>
  <headerFooter>
    <oddHeader>&amp;CGrille d'évaluation de la durabilité de produits bois énergie d'importation</oddHeader>
    <oddFooter>&amp;L&amp;8ADEME Pays de la Loire&amp;C&amp;8BLEZAT CONSULTING &amp; AGENCE MTDA&amp;R&amp;8&amp;D / &amp;T</oddFooter>
  </headerFooter>
  <rowBreaks count="1" manualBreakCount="1">
    <brk id="22" max="2" man="1"/>
  </rowBreaks>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5"/>
  <sheetViews>
    <sheetView showGridLines="0" zoomScaleNormal="100" zoomScaleSheetLayoutView="85" workbookViewId="0">
      <selection activeCell="B21" sqref="B21:C35"/>
    </sheetView>
  </sheetViews>
  <sheetFormatPr baseColWidth="10" defaultRowHeight="15" x14ac:dyDescent="0.25"/>
  <cols>
    <col min="1" max="1" width="7.7109375" style="25" bestFit="1" customWidth="1"/>
    <col min="2" max="2" width="60" style="25" customWidth="1"/>
    <col min="3" max="3" width="30.5703125" style="31" customWidth="1"/>
    <col min="4" max="4" width="3" style="23" customWidth="1"/>
    <col min="5" max="5" width="20" style="392" hidden="1" customWidth="1"/>
    <col min="6" max="6" width="9.140625" style="393" hidden="1" customWidth="1"/>
    <col min="7" max="7" width="14.5703125" style="393" hidden="1" customWidth="1"/>
    <col min="8" max="8" width="11.42578125" style="389" customWidth="1"/>
    <col min="9" max="13" width="17.5703125" style="29" customWidth="1"/>
    <col min="14" max="15" width="18.28515625" style="29" customWidth="1"/>
    <col min="16" max="22" width="11.42578125" style="29" customWidth="1"/>
    <col min="23" max="16384" width="11.42578125" style="29"/>
  </cols>
  <sheetData>
    <row r="1" spans="1:13" ht="7.5" customHeight="1" thickBot="1" x14ac:dyDescent="0.3"/>
    <row r="2" spans="1:13" s="191" customFormat="1" ht="24" thickBot="1" x14ac:dyDescent="0.4">
      <c r="A2" s="478" t="s">
        <v>21</v>
      </c>
      <c r="B2" s="478"/>
      <c r="C2" s="378" t="str">
        <f>IF(F3&gt;6000,"Risque faible",IF(F3&gt;3500,"Risque faible*","Risque fort"))</f>
        <v>Risque fort</v>
      </c>
      <c r="D2" s="201"/>
      <c r="E2" s="389"/>
      <c r="F2" s="389"/>
      <c r="G2" s="389"/>
      <c r="H2" s="389"/>
    </row>
    <row r="3" spans="1:13" s="216" customFormat="1" ht="72" customHeight="1" x14ac:dyDescent="0.25">
      <c r="A3" s="492" t="s">
        <v>19</v>
      </c>
      <c r="B3" s="492"/>
      <c r="C3" s="439" t="str">
        <f>IF(C7="Non","Risque indéterminé",IF(C7="Oui",F16,"Risque indéterminé"))</f>
        <v>Risque fort sans investigations complémentaires</v>
      </c>
      <c r="D3" s="255"/>
      <c r="E3" s="260" t="str">
        <f>IF(C13="","",CONCATENATE(ROUND((C16*100),0),"%"))</f>
        <v/>
      </c>
      <c r="F3" s="394">
        <f>SUM(E7:E17)</f>
        <v>1</v>
      </c>
      <c r="G3" s="383"/>
      <c r="H3" s="389"/>
      <c r="I3" s="479" t="s">
        <v>541</v>
      </c>
      <c r="J3" s="479"/>
      <c r="K3" s="479"/>
      <c r="L3" s="479"/>
      <c r="M3" s="479"/>
    </row>
    <row r="4" spans="1:13" x14ac:dyDescent="0.25">
      <c r="D4" s="78"/>
      <c r="I4" s="479"/>
      <c r="J4" s="479"/>
      <c r="K4" s="479"/>
      <c r="L4" s="479"/>
      <c r="M4" s="479"/>
    </row>
    <row r="5" spans="1:13" s="259" customFormat="1" ht="18" x14ac:dyDescent="0.25">
      <c r="A5" s="171" t="s">
        <v>493</v>
      </c>
      <c r="B5" s="269" t="s">
        <v>540</v>
      </c>
      <c r="C5" s="270" t="str">
        <f>CONCATENATE(C27," ",D27," ",E27)</f>
        <v xml:space="preserve">  </v>
      </c>
      <c r="D5" s="271"/>
      <c r="E5" s="271"/>
      <c r="F5" s="271"/>
      <c r="G5" s="272"/>
      <c r="H5" s="389"/>
      <c r="I5" s="479"/>
      <c r="J5" s="479"/>
      <c r="K5" s="479"/>
      <c r="L5" s="479"/>
      <c r="M5" s="479"/>
    </row>
    <row r="6" spans="1:13" ht="15.75" thickBot="1" x14ac:dyDescent="0.3">
      <c r="F6" s="62" t="s">
        <v>27</v>
      </c>
      <c r="G6" s="62">
        <v>1</v>
      </c>
      <c r="I6" s="479"/>
      <c r="J6" s="479"/>
      <c r="K6" s="479"/>
      <c r="L6" s="479"/>
      <c r="M6" s="479"/>
    </row>
    <row r="7" spans="1:13" ht="15.75" thickBot="1" x14ac:dyDescent="0.25">
      <c r="A7" s="222"/>
      <c r="B7" s="341" t="s">
        <v>420</v>
      </c>
      <c r="C7" s="220" t="s">
        <v>27</v>
      </c>
      <c r="D7" s="291"/>
      <c r="E7" s="395">
        <f>IF(C7="Oui",1,0)</f>
        <v>1</v>
      </c>
      <c r="F7" s="60" t="s">
        <v>422</v>
      </c>
      <c r="G7" s="396"/>
      <c r="I7" s="479"/>
      <c r="J7" s="479"/>
      <c r="K7" s="479"/>
      <c r="L7" s="479"/>
      <c r="M7" s="479"/>
    </row>
    <row r="8" spans="1:13" x14ac:dyDescent="0.25">
      <c r="F8" s="62" t="s">
        <v>27</v>
      </c>
      <c r="G8" s="62">
        <v>1</v>
      </c>
      <c r="I8" s="479"/>
      <c r="J8" s="479"/>
      <c r="K8" s="479"/>
      <c r="L8" s="479"/>
      <c r="M8" s="479"/>
    </row>
    <row r="9" spans="1:13" ht="15.75" thickBot="1" x14ac:dyDescent="0.3">
      <c r="A9" s="341"/>
      <c r="B9" s="341" t="s">
        <v>522</v>
      </c>
      <c r="C9" s="422"/>
      <c r="D9" s="78"/>
      <c r="F9" s="62" t="s">
        <v>28</v>
      </c>
      <c r="G9" s="62">
        <v>0</v>
      </c>
      <c r="I9" s="479"/>
      <c r="J9" s="479"/>
      <c r="K9" s="479"/>
      <c r="L9" s="479"/>
      <c r="M9" s="479"/>
    </row>
    <row r="10" spans="1:13" ht="15.75" thickBot="1" x14ac:dyDescent="0.3">
      <c r="A10" s="222"/>
      <c r="B10" s="440" t="s">
        <v>521</v>
      </c>
      <c r="C10" s="289"/>
      <c r="D10" s="291"/>
      <c r="F10" s="62" t="s">
        <v>311</v>
      </c>
      <c r="G10" s="62">
        <v>0</v>
      </c>
      <c r="I10" s="479"/>
      <c r="J10" s="479"/>
      <c r="K10" s="479"/>
      <c r="L10" s="479"/>
      <c r="M10" s="479"/>
    </row>
    <row r="11" spans="1:13" ht="24" x14ac:dyDescent="0.25">
      <c r="A11" s="222"/>
      <c r="B11" s="441" t="s">
        <v>524</v>
      </c>
      <c r="C11" s="423"/>
      <c r="D11" s="291"/>
      <c r="F11" s="62"/>
      <c r="G11" s="62"/>
      <c r="I11" s="479"/>
      <c r="J11" s="479"/>
      <c r="K11" s="479"/>
      <c r="L11" s="479"/>
      <c r="M11" s="479"/>
    </row>
    <row r="12" spans="1:13" ht="15.75" thickBot="1" x14ac:dyDescent="0.3">
      <c r="A12" s="222"/>
      <c r="B12" s="442"/>
      <c r="C12" s="423"/>
      <c r="D12" s="291"/>
      <c r="F12" s="62"/>
      <c r="G12" s="62"/>
      <c r="I12" s="479"/>
      <c r="J12" s="479"/>
      <c r="K12" s="479"/>
      <c r="L12" s="479"/>
      <c r="M12" s="479"/>
    </row>
    <row r="13" spans="1:13" ht="24.75" thickBot="1" x14ac:dyDescent="0.3">
      <c r="A13" s="222"/>
      <c r="B13" s="440" t="s">
        <v>525</v>
      </c>
      <c r="C13" s="289"/>
      <c r="D13" s="292"/>
      <c r="I13" s="479"/>
      <c r="J13" s="479"/>
      <c r="K13" s="479"/>
      <c r="L13" s="479"/>
      <c r="M13" s="479"/>
    </row>
    <row r="14" spans="1:13" ht="15.75" thickBot="1" x14ac:dyDescent="0.3">
      <c r="A14" s="222"/>
      <c r="B14" s="443" t="s">
        <v>476</v>
      </c>
      <c r="C14" s="425">
        <v>244</v>
      </c>
      <c r="D14" s="293"/>
      <c r="E14" s="397"/>
      <c r="I14" s="479"/>
      <c r="J14" s="479"/>
      <c r="K14" s="479"/>
      <c r="L14" s="479"/>
      <c r="M14" s="479"/>
    </row>
    <row r="15" spans="1:13" s="59" customFormat="1" ht="15.75" customHeight="1" thickBot="1" x14ac:dyDescent="0.3">
      <c r="A15" s="222"/>
      <c r="B15" s="443" t="s">
        <v>477</v>
      </c>
      <c r="C15" s="425">
        <v>464</v>
      </c>
      <c r="D15" s="293"/>
      <c r="E15" s="397"/>
      <c r="F15" s="398"/>
      <c r="G15" s="398"/>
      <c r="H15" s="389"/>
      <c r="I15" s="479"/>
      <c r="J15" s="479"/>
      <c r="K15" s="479"/>
      <c r="L15" s="479"/>
      <c r="M15" s="479"/>
    </row>
    <row r="16" spans="1:13" s="59" customFormat="1" ht="24.75" thickBot="1" x14ac:dyDescent="0.3">
      <c r="A16" s="264"/>
      <c r="B16" s="440" t="s">
        <v>499</v>
      </c>
      <c r="C16" s="415" t="str">
        <f>IF(C13="","non déterminé",(C14-C13)/C14)</f>
        <v>non déterminé</v>
      </c>
      <c r="D16" s="294"/>
      <c r="E16" s="399">
        <f>IF(C13="",0,E7*IF(C16&gt;0.599999,6000,IF(C16&gt;0.49999999,5000,IF(C16&gt;0.34999999,3500,IF(C16&lt;0,-1000,1)))))</f>
        <v>0</v>
      </c>
      <c r="F16" s="444" t="str">
        <f>IF(F3&gt;6000,"Risque faible",IF(F3&gt;5000,"Risque faible (*la réduction des émissions de GES n'atteint cependant pas 60%)",IF(F3&gt;3500,"Risque faible (*la réduction des émissions de GES n'atteint cependant pas 50%)",IF(F3=101,"Risque indéterminé","Risque fort sans investigations complémentaires"))))</f>
        <v>Risque fort sans investigations complémentaires</v>
      </c>
      <c r="G16" s="398"/>
      <c r="H16" s="389"/>
      <c r="I16" s="479"/>
      <c r="J16" s="479"/>
      <c r="K16" s="479"/>
      <c r="L16" s="479"/>
      <c r="M16" s="479"/>
    </row>
    <row r="17" spans="1:13" x14ac:dyDescent="0.25">
      <c r="A17" s="264"/>
      <c r="B17" s="426"/>
      <c r="C17" s="424" t="s">
        <v>523</v>
      </c>
      <c r="D17" s="294"/>
      <c r="E17" s="400"/>
      <c r="I17" s="479"/>
      <c r="J17" s="479"/>
      <c r="K17" s="479"/>
      <c r="L17" s="479"/>
      <c r="M17" s="479"/>
    </row>
    <row r="18" spans="1:13" x14ac:dyDescent="0.25">
      <c r="B18" s="40"/>
      <c r="C18" s="34"/>
    </row>
    <row r="19" spans="1:13" s="219" customFormat="1" ht="18" x14ac:dyDescent="0.25">
      <c r="A19" s="162" t="s">
        <v>493</v>
      </c>
      <c r="B19" s="161" t="s">
        <v>478</v>
      </c>
      <c r="C19" s="257"/>
      <c r="D19" s="217"/>
      <c r="E19" s="386"/>
      <c r="F19" s="386"/>
      <c r="G19" s="386"/>
      <c r="H19" s="389"/>
    </row>
    <row r="21" spans="1:13" ht="15" customHeight="1" x14ac:dyDescent="0.25">
      <c r="B21" s="471" t="s">
        <v>507</v>
      </c>
      <c r="C21" s="472"/>
      <c r="D21" s="217"/>
    </row>
    <row r="22" spans="1:13" x14ac:dyDescent="0.25">
      <c r="B22" s="473"/>
      <c r="C22" s="474"/>
    </row>
    <row r="23" spans="1:13" ht="18" x14ac:dyDescent="0.25">
      <c r="B23" s="473"/>
      <c r="C23" s="474"/>
      <c r="D23" s="217"/>
    </row>
    <row r="24" spans="1:13" x14ac:dyDescent="0.25">
      <c r="B24" s="473"/>
      <c r="C24" s="474"/>
    </row>
    <row r="25" spans="1:13" ht="18" x14ac:dyDescent="0.25">
      <c r="B25" s="473"/>
      <c r="C25" s="474"/>
      <c r="D25" s="217"/>
    </row>
    <row r="26" spans="1:13" x14ac:dyDescent="0.25">
      <c r="B26" s="473"/>
      <c r="C26" s="474"/>
    </row>
    <row r="27" spans="1:13" ht="18" x14ac:dyDescent="0.25">
      <c r="B27" s="473"/>
      <c r="C27" s="474"/>
      <c r="D27" s="217"/>
    </row>
    <row r="28" spans="1:13" x14ac:dyDescent="0.25">
      <c r="B28" s="473"/>
      <c r="C28" s="474"/>
    </row>
    <row r="29" spans="1:13" ht="18" x14ac:dyDescent="0.25">
      <c r="B29" s="473"/>
      <c r="C29" s="474"/>
      <c r="D29" s="217"/>
    </row>
    <row r="30" spans="1:13" x14ac:dyDescent="0.25">
      <c r="B30" s="473"/>
      <c r="C30" s="474"/>
    </row>
    <row r="31" spans="1:13" ht="18" x14ac:dyDescent="0.25">
      <c r="B31" s="473"/>
      <c r="C31" s="474"/>
      <c r="D31" s="217"/>
    </row>
    <row r="32" spans="1:13" x14ac:dyDescent="0.25">
      <c r="B32" s="473"/>
      <c r="C32" s="474"/>
    </row>
    <row r="33" spans="2:4" ht="18" x14ac:dyDescent="0.25">
      <c r="B33" s="473"/>
      <c r="C33" s="474"/>
      <c r="D33" s="217"/>
    </row>
    <row r="34" spans="2:4" x14ac:dyDescent="0.25">
      <c r="B34" s="473"/>
      <c r="C34" s="474"/>
    </row>
    <row r="35" spans="2:4" ht="18" x14ac:dyDescent="0.25">
      <c r="B35" s="475"/>
      <c r="C35" s="476"/>
      <c r="D35" s="217"/>
    </row>
  </sheetData>
  <sheetProtection password="C644" sheet="1" objects="1" scenarios="1" selectLockedCells="1"/>
  <mergeCells count="4">
    <mergeCell ref="A2:B2"/>
    <mergeCell ref="A3:B3"/>
    <mergeCell ref="B21:C35"/>
    <mergeCell ref="I3:M17"/>
  </mergeCells>
  <phoneticPr fontId="32" type="noConversion"/>
  <conditionalFormatting sqref="B9:D17">
    <cfRule type="expression" dxfId="29" priority="2">
      <formula>$C$7="Non"</formula>
    </cfRule>
  </conditionalFormatting>
  <dataValidations count="1">
    <dataValidation type="list" allowBlank="1" showInputMessage="1" showErrorMessage="1" sqref="C7">
      <formula1>$F$8:$F$10</formula1>
    </dataValidation>
  </dataValidations>
  <pageMargins left="0.25" right="0.25" top="0.75" bottom="0.75" header="0.3" footer="0.3"/>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rowBreaks count="1" manualBreakCount="1">
    <brk id="17" max="2"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9"/>
  <sheetViews>
    <sheetView showGridLines="0" zoomScaleNormal="100" zoomScaleSheetLayoutView="100" workbookViewId="0">
      <selection activeCell="C11" sqref="C11"/>
    </sheetView>
  </sheetViews>
  <sheetFormatPr baseColWidth="10" defaultRowHeight="12" x14ac:dyDescent="0.25"/>
  <cols>
    <col min="1" max="1" width="2.85546875" style="222" bestFit="1" customWidth="1"/>
    <col min="2" max="2" width="66.28515625" style="222" customWidth="1"/>
    <col min="3" max="3" width="29.5703125" style="223" customWidth="1"/>
    <col min="4" max="4" width="20.5703125" style="222" customWidth="1"/>
    <col min="5" max="5" width="22.5703125" style="265" hidden="1" customWidth="1"/>
    <col min="6" max="6" width="11" style="138" hidden="1" customWidth="1"/>
    <col min="7" max="7" width="0" style="263" hidden="1" customWidth="1"/>
    <col min="8" max="16384" width="11.42578125" style="263"/>
  </cols>
  <sheetData>
    <row r="1" spans="1:12" s="191" customFormat="1" ht="24" thickBot="1" x14ac:dyDescent="0.4">
      <c r="A1" s="478" t="s">
        <v>23</v>
      </c>
      <c r="B1" s="478"/>
      <c r="C1" s="342" t="str">
        <f>IF(SUM(F4:F4)&lt;2,"Risque fort","Risque faible")</f>
        <v>Risque fort</v>
      </c>
      <c r="D1" s="201"/>
    </row>
    <row r="2" spans="1:12" s="216" customFormat="1" ht="57" customHeight="1" x14ac:dyDescent="0.25">
      <c r="A2" s="480" t="s">
        <v>529</v>
      </c>
      <c r="B2" s="480"/>
      <c r="C2" s="480"/>
      <c r="D2" s="255"/>
      <c r="F2" s="216" t="s">
        <v>359</v>
      </c>
      <c r="H2" s="479" t="s">
        <v>503</v>
      </c>
      <c r="I2" s="479"/>
      <c r="J2" s="479"/>
      <c r="K2" s="479"/>
      <c r="L2" s="479"/>
    </row>
    <row r="3" spans="1:12" s="216" customFormat="1" ht="25.5" customHeight="1" x14ac:dyDescent="0.25">
      <c r="A3" s="231"/>
      <c r="B3" s="231"/>
      <c r="C3" s="231"/>
      <c r="D3" s="255"/>
      <c r="H3" s="479"/>
      <c r="I3" s="479"/>
      <c r="J3" s="479"/>
      <c r="K3" s="479"/>
      <c r="L3" s="479"/>
    </row>
    <row r="4" spans="1:12" ht="18" x14ac:dyDescent="0.25">
      <c r="A4" s="162" t="s">
        <v>493</v>
      </c>
      <c r="B4" s="269" t="s">
        <v>500</v>
      </c>
      <c r="F4" s="138">
        <f>VLOOKUP(B22,Commentaires!F26:G52,2,0)</f>
        <v>0</v>
      </c>
      <c r="H4" s="479"/>
      <c r="I4" s="479"/>
      <c r="J4" s="479"/>
      <c r="K4" s="479"/>
      <c r="L4" s="479"/>
    </row>
    <row r="5" spans="1:12" ht="12.75" thickBot="1" x14ac:dyDescent="0.3">
      <c r="C5" s="296"/>
      <c r="D5" s="254"/>
      <c r="E5" s="262"/>
      <c r="F5" s="297"/>
      <c r="G5" s="297"/>
      <c r="H5" s="479"/>
      <c r="I5" s="479"/>
      <c r="J5" s="479"/>
      <c r="K5" s="479"/>
      <c r="L5" s="479"/>
    </row>
    <row r="6" spans="1:12" s="247" customFormat="1" ht="12.75" thickBot="1" x14ac:dyDescent="0.3">
      <c r="A6" s="261"/>
      <c r="B6" s="341" t="str">
        <f>'2-Légalité'!B11</f>
        <v>Dans quel pays le bois a-t-il été récolté ?</v>
      </c>
      <c r="C6" s="220" t="str">
        <f>Accueil!C26</f>
        <v xml:space="preserve"> Ne sait pas</v>
      </c>
      <c r="D6" s="298"/>
      <c r="E6" s="299"/>
      <c r="F6" s="138"/>
      <c r="H6" s="431"/>
      <c r="I6" s="431"/>
      <c r="J6" s="431"/>
      <c r="K6" s="431"/>
      <c r="L6" s="431"/>
    </row>
    <row r="7" spans="1:12" s="266" customFormat="1" ht="12.75" thickBot="1" x14ac:dyDescent="0.3">
      <c r="B7" s="299"/>
      <c r="C7" s="300"/>
      <c r="D7" s="299"/>
      <c r="E7" s="299"/>
      <c r="F7" s="301"/>
      <c r="H7" s="431"/>
      <c r="I7" s="431"/>
      <c r="J7" s="431"/>
      <c r="K7" s="431"/>
      <c r="L7" s="431"/>
    </row>
    <row r="8" spans="1:12" ht="12.75" thickBot="1" x14ac:dyDescent="0.3">
      <c r="B8" s="341" t="s">
        <v>348</v>
      </c>
      <c r="C8" s="220"/>
      <c r="D8" s="298"/>
      <c r="E8" s="299"/>
      <c r="G8" s="261"/>
      <c r="H8" s="431"/>
      <c r="I8" s="431"/>
      <c r="J8" s="431"/>
      <c r="K8" s="431"/>
      <c r="L8" s="431"/>
    </row>
    <row r="9" spans="1:12" s="247" customFormat="1" x14ac:dyDescent="0.25">
      <c r="A9" s="261"/>
      <c r="B9" s="303" t="s">
        <v>528</v>
      </c>
      <c r="C9" s="41"/>
      <c r="D9" s="298"/>
      <c r="E9" s="299"/>
      <c r="F9" s="138"/>
      <c r="H9" s="431"/>
      <c r="I9" s="431"/>
      <c r="J9" s="431"/>
      <c r="K9" s="431"/>
      <c r="L9" s="431"/>
    </row>
    <row r="10" spans="1:12" ht="12.75" thickBot="1" x14ac:dyDescent="0.3">
      <c r="B10" s="304"/>
      <c r="C10" s="305"/>
      <c r="D10" s="298"/>
      <c r="E10" s="299"/>
      <c r="H10" s="431"/>
      <c r="I10" s="431"/>
      <c r="J10" s="431"/>
      <c r="K10" s="431"/>
      <c r="L10" s="431"/>
    </row>
    <row r="11" spans="1:12" s="247" customFormat="1" ht="24.75" thickBot="1" x14ac:dyDescent="0.3">
      <c r="A11" s="261"/>
      <c r="B11" s="341" t="s">
        <v>412</v>
      </c>
      <c r="C11" s="220" t="s">
        <v>311</v>
      </c>
      <c r="D11" s="298"/>
      <c r="E11" s="299"/>
      <c r="F11" s="138">
        <f>IF(C11="Non",1,0)</f>
        <v>0</v>
      </c>
      <c r="H11" s="431"/>
      <c r="I11" s="431"/>
      <c r="J11" s="431"/>
      <c r="K11" s="431"/>
      <c r="L11" s="431"/>
    </row>
    <row r="12" spans="1:12" ht="24" x14ac:dyDescent="0.25">
      <c r="B12" s="303" t="s">
        <v>413</v>
      </c>
      <c r="C12" s="222"/>
      <c r="F12" s="263"/>
      <c r="G12" s="301"/>
      <c r="H12" s="431"/>
      <c r="I12" s="431"/>
      <c r="J12" s="431"/>
      <c r="K12" s="431"/>
      <c r="L12" s="431"/>
    </row>
    <row r="13" spans="1:12" s="247" customFormat="1" ht="12.75" thickBot="1" x14ac:dyDescent="0.3">
      <c r="A13" s="261"/>
      <c r="B13" s="306"/>
      <c r="C13" s="41"/>
      <c r="D13" s="298"/>
      <c r="E13" s="299"/>
      <c r="F13" s="138"/>
    </row>
    <row r="14" spans="1:12" s="247" customFormat="1" ht="24.75" thickBot="1" x14ac:dyDescent="0.3">
      <c r="A14" s="261"/>
      <c r="B14" s="341" t="s">
        <v>0</v>
      </c>
      <c r="C14" s="220" t="s">
        <v>311</v>
      </c>
      <c r="D14" s="298"/>
      <c r="E14" s="299"/>
      <c r="F14" s="138">
        <f>IF(C14="Non",1,0)</f>
        <v>0</v>
      </c>
    </row>
    <row r="15" spans="1:12" s="247" customFormat="1" ht="24" x14ac:dyDescent="0.25">
      <c r="A15" s="261"/>
      <c r="B15" s="303" t="s">
        <v>1</v>
      </c>
      <c r="C15" s="41"/>
      <c r="D15" s="298"/>
      <c r="E15" s="299"/>
      <c r="F15" s="138"/>
    </row>
    <row r="16" spans="1:12" s="247" customFormat="1" ht="24" x14ac:dyDescent="0.25">
      <c r="A16" s="261"/>
      <c r="B16" s="303" t="s">
        <v>519</v>
      </c>
      <c r="C16" s="41"/>
      <c r="D16" s="298"/>
      <c r="E16" s="299"/>
      <c r="F16" s="138"/>
    </row>
    <row r="17" spans="1:10" ht="12.75" thickBot="1" x14ac:dyDescent="0.3">
      <c r="B17" s="267"/>
      <c r="C17" s="302"/>
      <c r="D17" s="298"/>
      <c r="E17" s="299"/>
    </row>
    <row r="18" spans="1:10" s="247" customFormat="1" ht="24.75" thickBot="1" x14ac:dyDescent="0.3">
      <c r="A18" s="261"/>
      <c r="B18" s="341" t="s">
        <v>483</v>
      </c>
      <c r="C18" s="220" t="s">
        <v>311</v>
      </c>
      <c r="D18" s="298"/>
      <c r="E18" s="299"/>
      <c r="F18" s="138"/>
    </row>
    <row r="19" spans="1:10" ht="12.75" thickBot="1" x14ac:dyDescent="0.3">
      <c r="B19" s="267"/>
      <c r="C19" s="302"/>
      <c r="D19" s="298"/>
      <c r="E19" s="299"/>
    </row>
    <row r="20" spans="1:10" ht="12.75" thickBot="1" x14ac:dyDescent="0.3">
      <c r="B20" s="341" t="s">
        <v>347</v>
      </c>
      <c r="C20" s="289"/>
      <c r="D20" s="298"/>
      <c r="E20" s="299"/>
      <c r="G20" s="261"/>
      <c r="H20" s="261"/>
      <c r="I20" s="261"/>
    </row>
    <row r="21" spans="1:10" x14ac:dyDescent="0.25">
      <c r="B21" s="353"/>
      <c r="C21" s="307"/>
      <c r="D21" s="298"/>
      <c r="E21" s="299"/>
    </row>
    <row r="22" spans="1:10" ht="37.5" customHeight="1" x14ac:dyDescent="0.25">
      <c r="B22" s="477" t="str">
        <f>VLOOKUP(CONCATENATE(C11,C14,C18),Commentaires!E$23:F$50,2,0)</f>
        <v>Aucune vérification concernant les conflits d'usage n'a été effectuée.</v>
      </c>
      <c r="C22" s="477"/>
      <c r="D22" s="298"/>
      <c r="E22" s="299"/>
    </row>
    <row r="23" spans="1:10" x14ac:dyDescent="0.25">
      <c r="B23" s="308"/>
      <c r="C23" s="307"/>
      <c r="D23" s="298"/>
      <c r="E23" s="299"/>
    </row>
    <row r="24" spans="1:10" x14ac:dyDescent="0.25">
      <c r="B24" s="308"/>
      <c r="C24" s="307"/>
      <c r="D24" s="298"/>
      <c r="E24" s="299"/>
    </row>
    <row r="25" spans="1:10" s="138" customFormat="1" x14ac:dyDescent="0.25">
      <c r="A25" s="222"/>
      <c r="B25" s="222"/>
      <c r="C25" s="223"/>
      <c r="D25" s="298"/>
      <c r="E25" s="299"/>
      <c r="G25" s="263"/>
      <c r="H25" s="263"/>
      <c r="I25" s="263"/>
    </row>
    <row r="26" spans="1:10" s="273" customFormat="1" ht="18" x14ac:dyDescent="0.25">
      <c r="A26" s="162" t="s">
        <v>493</v>
      </c>
      <c r="B26" s="269" t="s">
        <v>478</v>
      </c>
      <c r="C26" s="270" t="str">
        <f>CONCATENATE(C48," ",D48," ",E48)</f>
        <v xml:space="preserve">  </v>
      </c>
      <c r="D26" s="290"/>
    </row>
    <row r="27" spans="1:10" x14ac:dyDescent="0.25">
      <c r="C27" s="260"/>
      <c r="E27" s="222"/>
      <c r="F27" s="222"/>
      <c r="G27" s="222"/>
      <c r="H27" s="222"/>
      <c r="J27" s="297"/>
    </row>
    <row r="28" spans="1:10" ht="15" customHeight="1" x14ac:dyDescent="0.25">
      <c r="B28" s="483" t="s">
        <v>507</v>
      </c>
      <c r="C28" s="484"/>
      <c r="D28" s="169"/>
      <c r="E28" s="169"/>
      <c r="F28" s="169"/>
      <c r="G28" s="169"/>
      <c r="H28" s="222"/>
      <c r="J28" s="297"/>
    </row>
    <row r="29" spans="1:10" x14ac:dyDescent="0.25">
      <c r="B29" s="485"/>
      <c r="C29" s="486"/>
      <c r="D29" s="169"/>
      <c r="E29" s="169"/>
      <c r="F29" s="169"/>
      <c r="G29" s="169"/>
      <c r="H29" s="222"/>
      <c r="J29" s="297"/>
    </row>
    <row r="30" spans="1:10" x14ac:dyDescent="0.25">
      <c r="B30" s="485"/>
      <c r="C30" s="486"/>
      <c r="D30" s="169"/>
      <c r="E30" s="169"/>
      <c r="F30" s="169"/>
      <c r="G30" s="169"/>
      <c r="H30" s="222"/>
      <c r="J30" s="297"/>
    </row>
    <row r="31" spans="1:10" x14ac:dyDescent="0.25">
      <c r="B31" s="485"/>
      <c r="C31" s="486"/>
      <c r="D31" s="169"/>
      <c r="E31" s="169"/>
      <c r="F31" s="169"/>
      <c r="G31" s="169"/>
      <c r="H31" s="222"/>
      <c r="J31" s="297"/>
    </row>
    <row r="32" spans="1:10" x14ac:dyDescent="0.25">
      <c r="B32" s="485"/>
      <c r="C32" s="486"/>
      <c r="D32" s="169"/>
      <c r="E32" s="169"/>
      <c r="F32" s="169"/>
      <c r="G32" s="169"/>
      <c r="H32" s="222"/>
      <c r="J32" s="297"/>
    </row>
    <row r="33" spans="1:10" x14ac:dyDescent="0.25">
      <c r="B33" s="485"/>
      <c r="C33" s="486"/>
      <c r="D33" s="169"/>
      <c r="E33" s="169"/>
      <c r="F33" s="169"/>
      <c r="G33" s="169"/>
      <c r="H33" s="222"/>
      <c r="J33" s="297"/>
    </row>
    <row r="34" spans="1:10" x14ac:dyDescent="0.25">
      <c r="B34" s="485"/>
      <c r="C34" s="486"/>
      <c r="D34" s="169"/>
      <c r="E34" s="169"/>
      <c r="F34" s="169"/>
      <c r="G34" s="169"/>
      <c r="H34" s="222"/>
      <c r="J34" s="297"/>
    </row>
    <row r="35" spans="1:10" x14ac:dyDescent="0.25">
      <c r="B35" s="485"/>
      <c r="C35" s="486"/>
      <c r="D35" s="169"/>
      <c r="E35" s="169"/>
      <c r="F35" s="169"/>
      <c r="G35" s="169"/>
      <c r="H35" s="222"/>
      <c r="J35" s="297"/>
    </row>
    <row r="36" spans="1:10" x14ac:dyDescent="0.25">
      <c r="B36" s="485"/>
      <c r="C36" s="486"/>
      <c r="D36" s="169"/>
      <c r="E36" s="169"/>
      <c r="F36" s="169"/>
      <c r="G36" s="169"/>
      <c r="H36" s="222"/>
      <c r="J36" s="297"/>
    </row>
    <row r="37" spans="1:10" x14ac:dyDescent="0.25">
      <c r="B37" s="485"/>
      <c r="C37" s="486"/>
      <c r="D37" s="169"/>
      <c r="E37" s="169"/>
      <c r="F37" s="169"/>
      <c r="G37" s="169"/>
      <c r="H37" s="222"/>
      <c r="J37" s="297"/>
    </row>
    <row r="38" spans="1:10" x14ac:dyDescent="0.25">
      <c r="B38" s="485"/>
      <c r="C38" s="486"/>
      <c r="D38" s="169"/>
      <c r="E38" s="169"/>
      <c r="F38" s="169"/>
      <c r="G38" s="169"/>
      <c r="H38" s="222"/>
      <c r="J38" s="297"/>
    </row>
    <row r="39" spans="1:10" x14ac:dyDescent="0.25">
      <c r="B39" s="485"/>
      <c r="C39" s="486"/>
      <c r="D39" s="169"/>
      <c r="E39" s="169"/>
      <c r="F39" s="169"/>
      <c r="G39" s="169"/>
      <c r="H39" s="222"/>
      <c r="J39" s="297"/>
    </row>
    <row r="40" spans="1:10" x14ac:dyDescent="0.25">
      <c r="B40" s="485"/>
      <c r="C40" s="486"/>
      <c r="D40" s="169"/>
      <c r="E40" s="169"/>
      <c r="F40" s="169"/>
      <c r="G40" s="169"/>
      <c r="H40" s="222"/>
      <c r="J40" s="297"/>
    </row>
    <row r="41" spans="1:10" x14ac:dyDescent="0.25">
      <c r="B41" s="485"/>
      <c r="C41" s="486"/>
      <c r="D41" s="169"/>
      <c r="E41" s="169"/>
      <c r="F41" s="169"/>
      <c r="G41" s="169"/>
      <c r="H41" s="222"/>
      <c r="J41" s="297"/>
    </row>
    <row r="42" spans="1:10" x14ac:dyDescent="0.25">
      <c r="B42" s="487"/>
      <c r="C42" s="488"/>
      <c r="D42" s="169"/>
      <c r="E42" s="169"/>
      <c r="F42" s="169"/>
      <c r="G42" s="169"/>
      <c r="H42" s="222"/>
      <c r="J42" s="297"/>
    </row>
    <row r="43" spans="1:10" x14ac:dyDescent="0.25">
      <c r="C43" s="260"/>
      <c r="E43" s="222"/>
      <c r="F43" s="222"/>
      <c r="G43" s="222"/>
      <c r="H43" s="222"/>
      <c r="J43" s="297"/>
    </row>
    <row r="44" spans="1:10" s="138" customFormat="1" x14ac:dyDescent="0.25">
      <c r="A44" s="222"/>
      <c r="B44" s="222"/>
      <c r="C44" s="223"/>
      <c r="D44" s="298"/>
      <c r="E44" s="299"/>
      <c r="G44" s="263"/>
      <c r="H44" s="263"/>
      <c r="I44" s="263"/>
    </row>
    <row r="45" spans="1:10" s="138" customFormat="1" x14ac:dyDescent="0.25">
      <c r="A45" s="222"/>
      <c r="B45" s="222"/>
      <c r="C45" s="223"/>
      <c r="D45" s="298"/>
      <c r="E45" s="299"/>
      <c r="G45" s="263"/>
      <c r="H45" s="263"/>
      <c r="I45" s="263"/>
    </row>
    <row r="46" spans="1:10" s="138" customFormat="1" x14ac:dyDescent="0.25">
      <c r="A46" s="222"/>
      <c r="B46" s="222"/>
      <c r="C46" s="223"/>
      <c r="D46" s="298"/>
      <c r="E46" s="299"/>
      <c r="G46" s="263"/>
      <c r="H46" s="263"/>
      <c r="I46" s="263"/>
    </row>
    <row r="47" spans="1:10" s="138" customFormat="1" x14ac:dyDescent="0.25">
      <c r="A47" s="222"/>
      <c r="B47" s="222"/>
      <c r="C47" s="223"/>
      <c r="D47" s="298"/>
      <c r="E47" s="299"/>
      <c r="G47" s="263"/>
      <c r="H47" s="263"/>
      <c r="I47" s="263"/>
    </row>
    <row r="48" spans="1:10" s="138" customFormat="1" x14ac:dyDescent="0.25">
      <c r="A48" s="222"/>
      <c r="B48" s="222"/>
      <c r="C48" s="223"/>
      <c r="D48" s="298"/>
      <c r="E48" s="299"/>
      <c r="G48" s="263"/>
      <c r="H48" s="263"/>
      <c r="I48" s="263"/>
    </row>
    <row r="49" spans="1:9" s="138" customFormat="1" x14ac:dyDescent="0.25">
      <c r="A49" s="222"/>
      <c r="B49" s="222"/>
      <c r="C49" s="223"/>
      <c r="D49" s="298"/>
      <c r="E49" s="299"/>
      <c r="G49" s="263"/>
      <c r="H49" s="263"/>
      <c r="I49" s="263"/>
    </row>
    <row r="50" spans="1:9" s="138" customFormat="1" x14ac:dyDescent="0.25">
      <c r="A50" s="222"/>
      <c r="B50" s="222"/>
      <c r="C50" s="223"/>
      <c r="D50" s="298"/>
      <c r="E50" s="299"/>
      <c r="G50" s="263"/>
      <c r="H50" s="263"/>
      <c r="I50" s="263"/>
    </row>
    <row r="51" spans="1:9" s="138" customFormat="1" x14ac:dyDescent="0.25">
      <c r="A51" s="222"/>
      <c r="B51" s="222"/>
      <c r="C51" s="223"/>
      <c r="D51" s="298"/>
      <c r="E51" s="299"/>
      <c r="G51" s="263"/>
      <c r="H51" s="263"/>
      <c r="I51" s="263"/>
    </row>
    <row r="52" spans="1:9" s="138" customFormat="1" x14ac:dyDescent="0.25">
      <c r="A52" s="222"/>
      <c r="B52" s="222"/>
      <c r="C52" s="223"/>
      <c r="D52" s="298"/>
      <c r="E52" s="299"/>
      <c r="G52" s="263"/>
      <c r="H52" s="263"/>
      <c r="I52" s="263"/>
    </row>
    <row r="53" spans="1:9" s="138" customFormat="1" x14ac:dyDescent="0.25">
      <c r="A53" s="222"/>
      <c r="B53" s="222"/>
      <c r="C53" s="223"/>
      <c r="D53" s="298"/>
      <c r="E53" s="299"/>
      <c r="G53" s="263"/>
      <c r="H53" s="263"/>
      <c r="I53" s="263"/>
    </row>
    <row r="54" spans="1:9" s="138" customFormat="1" x14ac:dyDescent="0.25">
      <c r="A54" s="222"/>
      <c r="B54" s="222"/>
      <c r="C54" s="223"/>
      <c r="D54" s="298"/>
      <c r="E54" s="299"/>
      <c r="G54" s="263"/>
      <c r="H54" s="263"/>
      <c r="I54" s="263"/>
    </row>
    <row r="55" spans="1:9" s="138" customFormat="1" x14ac:dyDescent="0.25">
      <c r="A55" s="222"/>
      <c r="B55" s="222"/>
      <c r="C55" s="223"/>
      <c r="D55" s="298"/>
      <c r="E55" s="299"/>
      <c r="G55" s="263"/>
      <c r="H55" s="263"/>
      <c r="I55" s="263"/>
    </row>
    <row r="56" spans="1:9" s="138" customFormat="1" x14ac:dyDescent="0.25">
      <c r="A56" s="222"/>
      <c r="B56" s="222"/>
      <c r="C56" s="223"/>
      <c r="D56" s="298"/>
      <c r="E56" s="299"/>
      <c r="G56" s="263"/>
      <c r="H56" s="263"/>
      <c r="I56" s="263"/>
    </row>
    <row r="57" spans="1:9" s="138" customFormat="1" x14ac:dyDescent="0.25">
      <c r="A57" s="222"/>
      <c r="B57" s="222"/>
      <c r="C57" s="223"/>
      <c r="D57" s="298"/>
      <c r="E57" s="299"/>
      <c r="G57" s="263"/>
      <c r="H57" s="263"/>
      <c r="I57" s="263"/>
    </row>
    <row r="58" spans="1:9" s="138" customFormat="1" x14ac:dyDescent="0.25">
      <c r="A58" s="222"/>
      <c r="B58" s="222"/>
      <c r="C58" s="223"/>
      <c r="D58" s="298"/>
      <c r="E58" s="299"/>
      <c r="G58" s="263"/>
      <c r="H58" s="263"/>
      <c r="I58" s="263"/>
    </row>
    <row r="59" spans="1:9" s="138" customFormat="1" x14ac:dyDescent="0.25">
      <c r="A59" s="222"/>
      <c r="B59" s="222"/>
      <c r="C59" s="223"/>
      <c r="D59" s="298"/>
      <c r="E59" s="299"/>
      <c r="G59" s="263"/>
      <c r="H59" s="263"/>
      <c r="I59" s="263"/>
    </row>
    <row r="60" spans="1:9" s="138" customFormat="1" x14ac:dyDescent="0.25">
      <c r="A60" s="222"/>
      <c r="B60" s="222"/>
      <c r="C60" s="223"/>
      <c r="D60" s="298"/>
      <c r="E60" s="299"/>
      <c r="G60" s="263"/>
      <c r="H60" s="263"/>
      <c r="I60" s="263"/>
    </row>
    <row r="61" spans="1:9" s="138" customFormat="1" x14ac:dyDescent="0.25">
      <c r="A61" s="222"/>
      <c r="B61" s="222"/>
      <c r="C61" s="223"/>
      <c r="D61" s="298"/>
      <c r="E61" s="299"/>
      <c r="G61" s="263"/>
      <c r="H61" s="263"/>
      <c r="I61" s="263"/>
    </row>
    <row r="62" spans="1:9" s="138" customFormat="1" x14ac:dyDescent="0.25">
      <c r="A62" s="222"/>
      <c r="B62" s="222"/>
      <c r="C62" s="223"/>
      <c r="D62" s="298"/>
      <c r="E62" s="299"/>
      <c r="G62" s="263"/>
      <c r="H62" s="263"/>
      <c r="I62" s="263"/>
    </row>
    <row r="63" spans="1:9" s="138" customFormat="1" x14ac:dyDescent="0.25">
      <c r="A63" s="222"/>
      <c r="B63" s="222"/>
      <c r="C63" s="223"/>
      <c r="D63" s="298"/>
      <c r="E63" s="299"/>
      <c r="G63" s="263"/>
      <c r="H63" s="263"/>
      <c r="I63" s="263"/>
    </row>
    <row r="64" spans="1:9" s="138" customFormat="1" x14ac:dyDescent="0.25">
      <c r="A64" s="222"/>
      <c r="B64" s="222"/>
      <c r="C64" s="223"/>
      <c r="D64" s="298"/>
      <c r="E64" s="299"/>
      <c r="G64" s="263"/>
      <c r="H64" s="263"/>
      <c r="I64" s="263"/>
    </row>
    <row r="65" spans="1:9" s="138" customFormat="1" x14ac:dyDescent="0.25">
      <c r="A65" s="222"/>
      <c r="B65" s="222"/>
      <c r="C65" s="223"/>
      <c r="D65" s="298"/>
      <c r="E65" s="299"/>
      <c r="G65" s="263"/>
      <c r="H65" s="263"/>
      <c r="I65" s="263"/>
    </row>
    <row r="66" spans="1:9" s="138" customFormat="1" x14ac:dyDescent="0.25">
      <c r="A66" s="222"/>
      <c r="B66" s="222"/>
      <c r="C66" s="223"/>
      <c r="D66" s="298"/>
      <c r="E66" s="299"/>
      <c r="G66" s="263"/>
      <c r="H66" s="263"/>
      <c r="I66" s="263"/>
    </row>
    <row r="67" spans="1:9" s="138" customFormat="1" x14ac:dyDescent="0.25">
      <c r="A67" s="222"/>
      <c r="B67" s="222"/>
      <c r="C67" s="223"/>
      <c r="D67" s="298"/>
      <c r="E67" s="299"/>
      <c r="G67" s="263"/>
      <c r="H67" s="263"/>
      <c r="I67" s="263"/>
    </row>
    <row r="68" spans="1:9" s="138" customFormat="1" x14ac:dyDescent="0.25">
      <c r="A68" s="222"/>
      <c r="B68" s="222"/>
      <c r="C68" s="223"/>
      <c r="D68" s="298"/>
      <c r="E68" s="299"/>
      <c r="G68" s="263"/>
      <c r="H68" s="263"/>
      <c r="I68" s="263"/>
    </row>
    <row r="69" spans="1:9" s="138" customFormat="1" x14ac:dyDescent="0.25">
      <c r="A69" s="222"/>
      <c r="B69" s="222"/>
      <c r="C69" s="223"/>
      <c r="D69" s="298"/>
      <c r="E69" s="299"/>
      <c r="G69" s="263"/>
      <c r="H69" s="263"/>
      <c r="I69" s="263"/>
    </row>
  </sheetData>
  <sheetProtection password="C644" sheet="1" objects="1" scenarios="1" selectLockedCells="1"/>
  <mergeCells count="5">
    <mergeCell ref="B28:C42"/>
    <mergeCell ref="A1:B1"/>
    <mergeCell ref="B22:C22"/>
    <mergeCell ref="A2:C2"/>
    <mergeCell ref="H2:L5"/>
  </mergeCells>
  <phoneticPr fontId="32" type="noConversion"/>
  <dataValidations count="2">
    <dataValidation type="list" allowBlank="1" showInputMessage="1" showErrorMessage="1" sqref="C14 C11 C18">
      <formula1>Liste_oui_non_NSP</formula1>
    </dataValidation>
    <dataValidation type="list" allowBlank="1" showInputMessage="1" showErrorMessage="1" sqref="C6">
      <formula1>PAYS</formula1>
    </dataValidation>
  </dataValidations>
  <pageMargins left="0.25" right="0.25" top="0.75" bottom="0.75" header="0.3" footer="0.3"/>
  <pageSetup paperSize="9" fitToHeight="2" orientation="portrait" r:id="rId1"/>
  <headerFooter>
    <oddHeader>&amp;CGrille d'évaluation de la durabilité de produits bois énergie d'importation</oddHeader>
    <oddFooter>&amp;L&amp;8ADEME Pays de la Loire&amp;C&amp;8BLEZAT CONSULTING &amp; AGENCE MTDA&amp;R&amp;8&amp;D / &amp;T</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23</vt:i4>
      </vt:variant>
    </vt:vector>
  </HeadingPairs>
  <TitlesOfParts>
    <vt:vector size="40" baseType="lpstr">
      <vt:lpstr>Page 1</vt:lpstr>
      <vt:lpstr>Accueil</vt:lpstr>
      <vt:lpstr>Critères</vt:lpstr>
      <vt:lpstr>1-Filières</vt:lpstr>
      <vt:lpstr>2-Légalité</vt:lpstr>
      <vt:lpstr>3-Phyto</vt:lpstr>
      <vt:lpstr>4-Biodiversité</vt:lpstr>
      <vt:lpstr>5-GES</vt:lpstr>
      <vt:lpstr>6-Usages</vt:lpstr>
      <vt:lpstr>7-Droits</vt:lpstr>
      <vt:lpstr>Résultats</vt:lpstr>
      <vt:lpstr>Outil Transport</vt:lpstr>
      <vt:lpstr>Outil modèle transport</vt:lpstr>
      <vt:lpstr>Outil Déforestation</vt:lpstr>
      <vt:lpstr>Outil PCI moyen</vt:lpstr>
      <vt:lpstr>Listes</vt:lpstr>
      <vt:lpstr>Commentaires</vt:lpstr>
      <vt:lpstr>Liste_oui_non_NSP</vt:lpstr>
      <vt:lpstr>Niveau_risques</vt:lpstr>
      <vt:lpstr>PAYS</vt:lpstr>
      <vt:lpstr>Systeme_verification</vt:lpstr>
      <vt:lpstr>Systeme_vérification</vt:lpstr>
      <vt:lpstr>Système_vérification</vt:lpstr>
      <vt:lpstr>'Page 1'!Titre</vt:lpstr>
      <vt:lpstr>'1-Filières'!Zone_d_impression</vt:lpstr>
      <vt:lpstr>'2-Légalité'!Zone_d_impression</vt:lpstr>
      <vt:lpstr>'3-Phyto'!Zone_d_impression</vt:lpstr>
      <vt:lpstr>'4-Biodiversité'!Zone_d_impression</vt:lpstr>
      <vt:lpstr>'5-GES'!Zone_d_impression</vt:lpstr>
      <vt:lpstr>'6-Usages'!Zone_d_impression</vt:lpstr>
      <vt:lpstr>'7-Droits'!Zone_d_impression</vt:lpstr>
      <vt:lpstr>Accueil!Zone_d_impression</vt:lpstr>
      <vt:lpstr>Commentaires!Zone_d_impression</vt:lpstr>
      <vt:lpstr>Critères!Zone_d_impression</vt:lpstr>
      <vt:lpstr>Listes!Zone_d_impression</vt:lpstr>
      <vt:lpstr>'Outil Déforestation'!Zone_d_impression</vt:lpstr>
      <vt:lpstr>'Outil PCI moyen'!Zone_d_impression</vt:lpstr>
      <vt:lpstr>'Outil Transport'!Zone_d_impression</vt:lpstr>
      <vt:lpstr>'Page 1'!Zone_d_impression</vt:lpstr>
      <vt:lpstr>Résultats!Zone_d_impression</vt:lpstr>
    </vt:vector>
  </TitlesOfParts>
  <Company>MTDA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dc:creator>
  <cp:lastModifiedBy>Olivia MEIFFREN</cp:lastModifiedBy>
  <cp:lastPrinted>2013-03-18T10:19:03Z</cp:lastPrinted>
  <dcterms:created xsi:type="dcterms:W3CDTF">2013-02-15T07:39:24Z</dcterms:created>
  <dcterms:modified xsi:type="dcterms:W3CDTF">2013-04-08T13:05:13Z</dcterms:modified>
</cp:coreProperties>
</file>